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omments3.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omments4.xml" ContentType="application/vnd.openxmlformats-officedocument.spreadsheetml.comment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charts/chart42.xml" ContentType="application/vnd.openxmlformats-officedocument.drawingml.chart+xml"/>
  <Override PartName="/xl/drawings/drawing7.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omments6.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8.xml" ContentType="application/vnd.openxmlformats-officedocument.drawing+xml"/>
  <Override PartName="/xl/comments7.xml" ContentType="application/vnd.openxmlformats-officedocument.spreadsheetml.comment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1A4" lockStructure="1"/>
  <bookViews>
    <workbookView xWindow="0" yWindow="510" windowWidth="12285" windowHeight="5430" tabRatio="874"/>
  </bookViews>
  <sheets>
    <sheet name="Front Page" sheetId="18" r:id="rId1"/>
    <sheet name="Designs" sheetId="1" r:id="rId2"/>
    <sheet name="Fly-Buck" sheetId="22" r:id="rId3"/>
    <sheet name="Fly-Buck-Boost" sheetId="25" r:id="rId4"/>
    <sheet name="Flyback CCM" sheetId="23" r:id="rId5"/>
    <sheet name="Fly-Buck_Calc" sheetId="2" state="hidden" r:id="rId6"/>
    <sheet name="Flyback DCM" sheetId="26" r:id="rId7"/>
    <sheet name="Fly-BB_Calc" sheetId="8" state="hidden" r:id="rId8"/>
    <sheet name="Flyback_CCM_Calc" sheetId="9" state="hidden" r:id="rId9"/>
    <sheet name="Flyback_DCM_Calc" sheetId="16" state="hidden" r:id="rId10"/>
    <sheet name="Transformer" sheetId="3" state="hidden" r:id="rId11"/>
    <sheet name="Trans_Core" sheetId="15" state="hidden" r:id="rId12"/>
    <sheet name="Parts" sheetId="13" state="hidden" r:id="rId13"/>
    <sheet name="FlybacK CCM vs DCM" sheetId="21" state="hidden" r:id="rId14"/>
    <sheet name="Fly-Buck vs Fly-Buck-Boost" sheetId="20" state="hidden" r:id="rId15"/>
    <sheet name="Fly-Buck v Flyback" sheetId="19" state="hidden" r:id="rId16"/>
    <sheet name="Constants" sheetId="7" state="hidden" r:id="rId17"/>
    <sheet name="Rev Tracking" sheetId="10" state="hidden" r:id="rId18"/>
    <sheet name="Fly-Buck_Max" sheetId="27" state="hidden" r:id="rId19"/>
  </sheets>
  <externalReferences>
    <externalReference r:id="rId20"/>
  </externalReferences>
  <definedNames>
    <definedName name="a1_FB">Transformer!$E$29</definedName>
    <definedName name="a1_FBB">Transformer!$E$65</definedName>
    <definedName name="a1_FlyB_CCM">Transformer!$E$100</definedName>
    <definedName name="a1_FlyB_DCM">Transformer!$E$137</definedName>
    <definedName name="a2_FB">Transformer!$E$30</definedName>
    <definedName name="a2_FBB">Transformer!$E$66</definedName>
    <definedName name="a2_FlyB_CCM">Transformer!$E$101</definedName>
    <definedName name="a2_FlyB_DCM">Transformer!$E$138</definedName>
    <definedName name="a3_FB">Transformer!$E$31</definedName>
    <definedName name="a3_FBB">Transformer!$E$67</definedName>
    <definedName name="a3_FlyB_CCM">Transformer!$E$102</definedName>
    <definedName name="a3_FlyB_DCM">Transformer!$E$139</definedName>
    <definedName name="a4_FB">Transformer!$E$32</definedName>
    <definedName name="a4_FBB">Transformer!$E$68</definedName>
    <definedName name="a4_FlyB_CCM">Transformer!$E$103</definedName>
    <definedName name="a4_FlyB_DCM">Transformer!$E$140</definedName>
    <definedName name="a5_FB">Transformer!$E$33</definedName>
    <definedName name="a5_FBB">Transformer!$E$69</definedName>
    <definedName name="a5_FlyB_CCM">Transformer!$E$104</definedName>
    <definedName name="a5_FlyB_DCM">Transformer!$E$141</definedName>
    <definedName name="a6_FB">Transformer!$E$34</definedName>
    <definedName name="a6_FBB">Transformer!$E$70</definedName>
    <definedName name="a6_FlyB_CCM">Transformer!$E$105</definedName>
    <definedName name="a6_FlyB_DCM">Transformer!$E$142</definedName>
    <definedName name="aAUX_FlyB_CCM">Transformer!$E$106</definedName>
    <definedName name="aAUX_FlyB_DCM">Transformer!$E$143</definedName>
    <definedName name="Ae_FB">Transformer!$B$21</definedName>
    <definedName name="Ae_FBB">Transformer!$F$56</definedName>
    <definedName name="Ae_Flyback_CCM">Transformer!$B$92</definedName>
    <definedName name="Ae_Flyback_DCM">Transformer!$B$129</definedName>
    <definedName name="aPri_FB">Transformer!$E$28</definedName>
    <definedName name="aPri_FBB">Transformer!$E$64</definedName>
    <definedName name="aPri_FlyB_CCM">Transformer!$E$99</definedName>
    <definedName name="aPri_FlyB_DCM">Transformer!$E$136</definedName>
    <definedName name="Aw1_FB">Transformer!$B$37</definedName>
    <definedName name="Aw1_FBB">Transformer!$H$65</definedName>
    <definedName name="Aw1_FlyB_CCM">Transformer!$B$109</definedName>
    <definedName name="Aw1_FlyB_DCM">Transformer!$B$146</definedName>
    <definedName name="Aw2_FB">Transformer!$B$38</definedName>
    <definedName name="Aw2_FBB">Transformer!$H$66</definedName>
    <definedName name="Aw2_FlyB_CCM">Transformer!$B$110</definedName>
    <definedName name="Aw2_FlyB_DCM">Transformer!$B$147</definedName>
    <definedName name="Aw3_FB">Transformer!$B$39</definedName>
    <definedName name="Aw3_FBB">Transformer!$H$67</definedName>
    <definedName name="Aw3_FlyB_CCM">Transformer!$B$111</definedName>
    <definedName name="Aw3_FlyB_DCM">Transformer!$B$148</definedName>
    <definedName name="Aw4_FB">Transformer!$B$40</definedName>
    <definedName name="Aw4_FBB">Transformer!$H$68</definedName>
    <definedName name="Aw4_FlyB_CCM">Transformer!$B$112</definedName>
    <definedName name="Aw4_FlyB_DCM">Transformer!$B$149</definedName>
    <definedName name="Aw5_FB">Transformer!$B$41</definedName>
    <definedName name="Aw5_FBB">Transformer!$H$69</definedName>
    <definedName name="Aw5_FlyB_CCM">Transformer!$B$113</definedName>
    <definedName name="Aw5_FlyB_DCM">Transformer!$B$150</definedName>
    <definedName name="Aw6_FB">Transformer!$B$42</definedName>
    <definedName name="Aw6_FBB">Transformer!$H$70</definedName>
    <definedName name="Aw6_FlyB_CCM">Transformer!$B$114</definedName>
    <definedName name="Aw6_FlyB_DCM">Transformer!$B$151</definedName>
    <definedName name="AwAUX_FlyB_CCM">Transformer!$B$115</definedName>
    <definedName name="AwAUX_FlyB_DCM">Transformer!$B$152</definedName>
    <definedName name="AWG_FB">Transformer!$E$36</definedName>
    <definedName name="AWG_FBB">Transformer!$D$72</definedName>
    <definedName name="AWG_Flyback_CCM">Transformer!$E$108</definedName>
    <definedName name="AWG_Flyback_DCM">Transformer!$E$145</definedName>
    <definedName name="AWG1_FB">Transformer!$E$37</definedName>
    <definedName name="AWG1_FBB">Transformer!$D$73</definedName>
    <definedName name="AWG1_Flyback_CCM">Transformer!$E$109</definedName>
    <definedName name="AWG1_Flyback_DCM">Transformer!$E$146</definedName>
    <definedName name="AWG2_FB">Transformer!$E$38</definedName>
    <definedName name="AWG2_FBB">Transformer!$D$74</definedName>
    <definedName name="AWG2_Flyback_CCM">Transformer!$E$110</definedName>
    <definedName name="AWG2_Flyback_DCM">Transformer!$E$147</definedName>
    <definedName name="AWG3_FB">Transformer!$E$39</definedName>
    <definedName name="AWG3_FBB">Transformer!$D$75</definedName>
    <definedName name="AWG3_Flyback_CCM">Transformer!$E$111</definedName>
    <definedName name="AWG3_Flyback_DCM">Transformer!$E$148</definedName>
    <definedName name="AWG4_FB">Transformer!$E$40</definedName>
    <definedName name="AWG4_FBB">Transformer!$D$76</definedName>
    <definedName name="AWG4_Flyback_CCM">Transformer!$E$112</definedName>
    <definedName name="AWG4_Flyback_DCM">Transformer!$E$149</definedName>
    <definedName name="AWG5_FB">Transformer!$E$41</definedName>
    <definedName name="AWG5_FBB">Transformer!$D$77</definedName>
    <definedName name="AWG5_Flyback_CCM">Transformer!$E$113</definedName>
    <definedName name="AWG5_Flyback_DCM">Transformer!$E$150</definedName>
    <definedName name="AWG6_FB">Transformer!$E$42</definedName>
    <definedName name="AWG6_FBB">Transformer!$D$78</definedName>
    <definedName name="AWG6_Flyback_CCM">Transformer!$E$114</definedName>
    <definedName name="AWG6_Flyback_DCM">Transformer!$E$151</definedName>
    <definedName name="AWGAUX_Flyback_CCM">Transformer!$E$115</definedName>
    <definedName name="AWGAUX_Flyback_DCM">Transformer!$E$152</definedName>
    <definedName name="AwPri_FB">Transformer!$B$36</definedName>
    <definedName name="AwPri_FBB">Transformer!$H$64</definedName>
    <definedName name="AwPri_FlyB_CCM">Transformer!$B$108</definedName>
    <definedName name="AwPri_FlyB_DCM">Transformer!$B$145</definedName>
    <definedName name="Bmax_FB">Transformer!$B$17</definedName>
    <definedName name="Bmax_FBB">Transformer!$B$49</definedName>
    <definedName name="Bmax_Flyback">Transformer!$B$88</definedName>
    <definedName name="Bmax_Flyback_DCM">Transformer!$B$125</definedName>
    <definedName name="Bsat_3F35">Trans_Core!$T$2</definedName>
    <definedName name="CM_3C92">Trans_Core!$N$27</definedName>
    <definedName name="CM_3C96">Trans_Core!$N$28</definedName>
    <definedName name="CM_3F35">Trans_Core!$N$25</definedName>
    <definedName name="CM_3F36">Trans_Core!$N$26</definedName>
    <definedName name="Coss_Flyback_CCM">'Flyback CCM'!$B$75*(10^-9)</definedName>
    <definedName name="Coss_Flyback_DCM">'Flyback DCM'!$B$72*(10^-9)</definedName>
    <definedName name="COUT1_FB">'Fly-Buck'!$B$100*(10^-6)</definedName>
    <definedName name="COUT1_FBB">'Fly-Buck-Boost'!$B$95*(10^-6)</definedName>
    <definedName name="COUT1_FlyB_CCM">'Flyback CCM'!$B$137*(10^-6)</definedName>
    <definedName name="COUT1_FlyB_DCM">'Flyback DCM'!$B$138*(10^-6)</definedName>
    <definedName name="COUT2_FB">'Fly-Buck'!$B$103*(10^-6)</definedName>
    <definedName name="COUT2_FBB">'Fly-Buck-Boost'!$B$98*(10^-6)</definedName>
    <definedName name="COUT2_FlyB_CCM">'Flyback CCM'!$B$140*(10^-6)</definedName>
    <definedName name="COUT2_FlyB_DCM">'Flyback DCM'!$B$141*(10^-6)</definedName>
    <definedName name="COUT3_FB">'Fly-Buck'!$B$106*(10^-6)</definedName>
    <definedName name="COUT3_FBB">'Fly-Buck-Boost'!$B$101*(10^-6)</definedName>
    <definedName name="COUT3_FlyB_CCM">'Flyback CCM'!$B$143*(10^-6)</definedName>
    <definedName name="COUT3_FlyB_DCM">'Flyback DCM'!$B$144*(10^-6)</definedName>
    <definedName name="COUT4_FB">'Fly-Buck'!$B$109*(10^-6)</definedName>
    <definedName name="COUT4_FBB">'Fly-Buck-Boost'!$B$104*(10^-6)</definedName>
    <definedName name="COUT4_FlyB_CCM">'Flyback CCM'!$B$146*(10^-6)</definedName>
    <definedName name="COUT4_FlyB_DCM">'Flyback DCM'!$B$147*(10^-6)</definedName>
    <definedName name="COUT5_FB">'Fly-Buck'!$B$112*(10^-6)</definedName>
    <definedName name="COUT5_FBB">'Fly-Buck-Boost'!$B$107*(10^-6)</definedName>
    <definedName name="COUT5_FlyB_CCM">'Flyback CCM'!$B$149*(10^-6)</definedName>
    <definedName name="COUT5_FlyB_DCM">'Flyback DCM'!$B$150*(10^-6)</definedName>
    <definedName name="COUT6_FB">'Fly-Buck'!$B$115*(10^-6)</definedName>
    <definedName name="COUT6_FBB">'Fly-Buck-Boost'!$B$110*(10^-6)</definedName>
    <definedName name="COUT6_FlyB_CCM">'Flyback CCM'!$B$152*(10^-6)</definedName>
    <definedName name="COUT6_FlyB_DCM">'Flyback DCM'!$B$153*(10^-6)</definedName>
    <definedName name="COUTAUX_FlyB_CCM">'Flyback CCM'!$B$155*(10^-6)</definedName>
    <definedName name="COUTAUX_FlyB_DCM">'Flyback DCM'!$B$156*(10^-6)</definedName>
    <definedName name="COUTPri_FB">'Fly-Buck'!$B$97*(10^-6)</definedName>
    <definedName name="COUTPri_FBB">'Fly-Buck-Boost'!$B$92*(10^-6)</definedName>
    <definedName name="Ct_3C92">Trans_Core!$S$27</definedName>
    <definedName name="Ct_3C96">Trans_Core!$S$28</definedName>
    <definedName name="Ct_3F35">Trans_Core!$S$25</definedName>
    <definedName name="Ct_3F36">Trans_Core!$S$26</definedName>
    <definedName name="Ct1_3C92">Trans_Core!$R$27</definedName>
    <definedName name="Ct1_3C96">Trans_Core!$R$28</definedName>
    <definedName name="Ct1_3F35">Trans_Core!$R$25</definedName>
    <definedName name="Ct1_3F36">Trans_Core!$R$26</definedName>
    <definedName name="Ct2_3C92">Trans_Core!$Q$27</definedName>
    <definedName name="Ct2_3C96">Trans_Core!$Q$28</definedName>
    <definedName name="Ct2_3F35">Trans_Core!$Q$25</definedName>
    <definedName name="Ct2_3F36">Trans_Core!$Q$26</definedName>
    <definedName name="D_spec">Designs!$B$10</definedName>
    <definedName name="DC_Step">Constants!$B$5</definedName>
    <definedName name="DMAX">[1]Sheet3!$O$5</definedName>
    <definedName name="dSkin">Transformer!$B$81</definedName>
    <definedName name="Eff" localSheetId="18">'Fly-Buck_Max'!$D$3</definedName>
    <definedName name="eff">Designs!$B$9</definedName>
    <definedName name="FB_MAX">[1]Sheet3!$O$3</definedName>
    <definedName name="FBB_MAX">[1]Sheet3!$O$4</definedName>
    <definedName name="Fly_Buck_Boost_Parts">Constants!$G$4:$G$7</definedName>
    <definedName name="Fly_Buck_Parts">Constants!$F$4:$F$7</definedName>
    <definedName name="Flyback_Parts">Constants!$H$4:$H$7</definedName>
    <definedName name="Flyback_Qrr">Constants!$B$11</definedName>
    <definedName name="Freq_Selector">Trans_Core!$L$25</definedName>
    <definedName name="Fsw">Fsw_Input*1000</definedName>
    <definedName name="Fsw_Input">Designs!$B$8</definedName>
    <definedName name="ILavg_FlyB">'Fly-Buck_Calc'!$B$26</definedName>
    <definedName name="ILpeak_Max_FB">'Fly-Buck_Calc'!$B$27</definedName>
    <definedName name="ILpeak_Max_FBB">'Fly-BB_Calc'!$B$26</definedName>
    <definedName name="ILpeak_Max_FlyB_CCM">Flyback_CCM_Calc!$B$27</definedName>
    <definedName name="ILpeak_Max_FlyB_DCM">Flyback_DCM_Calc!$B$27</definedName>
    <definedName name="ILripple_Max_FB">'Fly-Buck_Calc'!$B$28</definedName>
    <definedName name="ILripple_Max_FBB">'Fly-BB_Calc'!$B$27</definedName>
    <definedName name="ILripple_Max_FlyB_CCM">Flyback_CCM_Calc!$B$28</definedName>
    <definedName name="ILripple_Max_FlyB_DCM">Flyback_DCM_Calc!$B$28</definedName>
    <definedName name="ILrms_Ipri_FB">'Fly-Buck_Calc'!$B$32</definedName>
    <definedName name="ILrms_Ipri_FBB">'Fly-BB_Calc'!$B$31</definedName>
    <definedName name="ILrms_Ipri_FlyB_CCM">Flyback_CCM_Calc!$B$32</definedName>
    <definedName name="ILrms_Ipri_FlyB_DCM">Flyback_DCM_Calc!$B$32</definedName>
    <definedName name="ILrms_IVAUX_FlyB_CCM">Flyback_CCM_Calc!$B$39</definedName>
    <definedName name="ILrms_IVAUX_FlyB_DCM">Flyback_DCM_Calc!$B$39</definedName>
    <definedName name="ILrms_IVOUT1_FlyB_CCM">Flyback_CCM_Calc!$B$33</definedName>
    <definedName name="ILrms_IVOUT1_FlyB_DCM">Flyback_DCM_Calc!$B$33</definedName>
    <definedName name="ILrms_IVOUT2_FlyB_CCM">Flyback_CCM_Calc!$B$34</definedName>
    <definedName name="ILrms_IVOUT2_FlyB_DCM">Flyback_DCM_Calc!$B$34</definedName>
    <definedName name="ILrms_IVOUT3_FlyB_CCM">Flyback_CCM_Calc!$B$35</definedName>
    <definedName name="ILrms_IVOUT3_FlyB_DCM">Flyback_DCM_Calc!$B$35</definedName>
    <definedName name="ILrms_IVOUT4_FlyB_CCM">Flyback_CCM_Calc!$B$36</definedName>
    <definedName name="ILrms_IVOUT4_FlyB_DCM">Flyback_DCM_Calc!$B$36</definedName>
    <definedName name="ILrms_IVOUT5_FlyB_CCM">Flyback_CCM_Calc!$B$37</definedName>
    <definedName name="ILrms_IVOUT5_FlyB_DCM">Flyback_DCM_Calc!$B$37</definedName>
    <definedName name="ILrms_IVOUT6_FlyB_CCM">Flyback_CCM_Calc!$B$38</definedName>
    <definedName name="ILrms_IVOUT6_FlyB_DCM">Flyback_DCM_Calc!$B$38</definedName>
    <definedName name="ILrms_Max_FB">'Fly-Buck_Calc'!$B$32</definedName>
    <definedName name="ILrms_Max_FBB">'Fly-BB_Calc'!$B$31</definedName>
    <definedName name="ILrms_Max_FlyB_CCM">Flyback_CCM_Calc!$B$29</definedName>
    <definedName name="ILrms_Max_FlyB_DCM">Flyback_DCM_Calc!$B$29</definedName>
    <definedName name="ILrms_Total_Max_FB">'Fly-Buck_Calc'!$B$31</definedName>
    <definedName name="ILrms_Total_Max_FB_CCM">Flyback_CCM_Calc!$B$31</definedName>
    <definedName name="ILrms_Total_Max_FB_DCM">Flyback_DCM_Calc!$B$31</definedName>
    <definedName name="ILrms_Total_Max_FBB">'Fly-BB_Calc'!$B$30</definedName>
    <definedName name="ILrms_VOUT1_FB">'Fly-Buck_Calc'!$B$33</definedName>
    <definedName name="ILrms_VOUT1_FBB">'Fly-BB_Calc'!$B$32</definedName>
    <definedName name="ILrms_VOUT2_FB">'Fly-Buck_Calc'!$B$34</definedName>
    <definedName name="ILrms_VOUT2_FBB">'Fly-BB_Calc'!$B$33</definedName>
    <definedName name="ILrms_VOUT3_FB">'Fly-Buck_Calc'!$B$35</definedName>
    <definedName name="ILrms_VOUT3_FBB">'Fly-BB_Calc'!$B$34</definedName>
    <definedName name="ILrms_VOUT4_FB">'Fly-Buck_Calc'!$B$36</definedName>
    <definedName name="ILrms_VOUT4_FBB">'Fly-BB_Calc'!$B$35</definedName>
    <definedName name="ILrms_VOUT5_FB">'Fly-Buck_Calc'!$B$37</definedName>
    <definedName name="ILrms_VOUT5_FBB">'Fly-BB_Calc'!$B$36</definedName>
    <definedName name="ILrms_VOUT6_FB">'Fly-Buck_Calc'!$B$38</definedName>
    <definedName name="ILrms_VOUT6_FBB">'Fly-BB_Calc'!$B$37</definedName>
    <definedName name="Iout1">Designs!$B$33</definedName>
    <definedName name="Iout2">Designs!$B$38</definedName>
    <definedName name="Iout3">Designs!$B$43</definedName>
    <definedName name="Iout4">Designs!$B$48</definedName>
    <definedName name="Iout5">Designs!$B$53</definedName>
    <definedName name="Iout6">Designs!$B$58</definedName>
    <definedName name="IoutAux">Designs!$B$27</definedName>
    <definedName name="IoutPri_FB">Designs!$B$18</definedName>
    <definedName name="IoutPri_FBB">Designs!$B$23</definedName>
    <definedName name="ISW_5017">[1]Sheet3!$R$4</definedName>
    <definedName name="ISW_5160">[1]Sheet3!$R$3</definedName>
    <definedName name="Kg_FB">Transformer!$B$18</definedName>
    <definedName name="Kg_FBB">Transformer!$B$50</definedName>
    <definedName name="Kg_Flyback">Transformer!$B$89</definedName>
    <definedName name="Kg_Flyback_DCM">Transformer!$B$126</definedName>
    <definedName name="Ku_FB">Transformer!$B$15</definedName>
    <definedName name="Ku_FBB">Transformer!$B$47</definedName>
    <definedName name="Ku_FlyBack">Transformer!$B$86</definedName>
    <definedName name="Ku_FlyBack_DCM">Transformer!$B$123</definedName>
    <definedName name="Lcalc_FB_VinMax">'Fly-Buck_Calc'!$F$27</definedName>
    <definedName name="Lcalc_FB_VinMin">'Fly-Buck_Calc'!$F$25</definedName>
    <definedName name="Lcalc_FB_VinNom">'Fly-Buck_Calc'!$F$26</definedName>
    <definedName name="Lcalc_FBB_VinMax">'Fly-BB_Calc'!$I$15</definedName>
    <definedName name="Lcalc_FBB_VinMin">'Fly-BB_Calc'!$I$13</definedName>
    <definedName name="Lcalc_FBB_VinNom">'Fly-BB_Calc'!$I$14</definedName>
    <definedName name="Lcalc_Flyback_crit">Flyback_CCM_Calc!$B$25</definedName>
    <definedName name="Lcalc_Flyback_VinMax">Flyback_CCM_Calc!$H$19</definedName>
    <definedName name="Lcalc_Flyback_VinMin">Flyback_CCM_Calc!$H$17</definedName>
    <definedName name="Lcalc_Flyback_VinNom">Flyback_CCM_Calc!$H$18</definedName>
    <definedName name="Le_FB">Transformer!$B$20</definedName>
    <definedName name="Le_FBB">Transformer!$F$55</definedName>
    <definedName name="Le_Flyback_CCM">Transformer!$B$91</definedName>
    <definedName name="Le_Flyback_DCM">Transformer!$B$128</definedName>
    <definedName name="LL_Flyback_CCM">'Flyback CCM'!$B$28*(10^-6)</definedName>
    <definedName name="LL_Flyback_DCM">'Flyback DCM'!$B$29*(10^-6)</definedName>
    <definedName name="Lm_FlyB">Lm_FlyB_Input*(10^-6)</definedName>
    <definedName name="Lm_FlyB_Input">'Fly-Buck'!$B$24</definedName>
    <definedName name="Lm_Flyback_CCM">Lm_Flyback_CCM_Input*(10^-6)</definedName>
    <definedName name="Lm_Flyback_CCM_Input">'Flyback CCM'!$B$26</definedName>
    <definedName name="Lm_Flyback_DCM">Lm_Flyback_DCM_Input*(10^-6)</definedName>
    <definedName name="Lm_Flyback_DCM_Input">'Flyback DCM'!$B$27</definedName>
    <definedName name="Lm_FlyBB">Lm_FlyBB_Input*(10^-6)</definedName>
    <definedName name="Lm_FlyBB_Input">'Fly-Buck-Boost'!$B$24</definedName>
    <definedName name="MLT_FB">Transformer!$B$24</definedName>
    <definedName name="MLT_FBB">Transformer!$F$59</definedName>
    <definedName name="MLT_Flyback_CCM">Transformer!$B$95</definedName>
    <definedName name="MLT_Flyback_DCM">Transformer!$B$132</definedName>
    <definedName name="n">[1]Sheet3!$L$5</definedName>
    <definedName name="n1_FlyB">'Fly-Buck'!$E$15</definedName>
    <definedName name="n1_FlyB_Calc">'Fly-Buck'!$B$15</definedName>
    <definedName name="n1_Flyback">'Flyback CCM'!$D$16</definedName>
    <definedName name="n1_Flyback_Calc">'Flyback CCM'!$B$16</definedName>
    <definedName name="n1_FlyBB">'Fly-Buck-Boost'!$E$15</definedName>
    <definedName name="n1_FlyBB_Calc">'Fly-Buck-Boost'!$B$15</definedName>
    <definedName name="n2_FlyB">'Fly-Buck'!$E$16</definedName>
    <definedName name="n2_FlyB_Calc">'Fly-Buck'!$B$16</definedName>
    <definedName name="n2_Flyback">'Flyback CCM'!$D$17</definedName>
    <definedName name="n2_Flyback_Calc">'Flyback CCM'!$B$17</definedName>
    <definedName name="n2_FlyBB">'Fly-Buck-Boost'!$E$16</definedName>
    <definedName name="n2_FlyBB_Calc">'Fly-Buck-Boost'!$B$16</definedName>
    <definedName name="n3_FlyB">'Fly-Buck'!$E$17</definedName>
    <definedName name="n3_FlyB_Calc">'Fly-Buck'!$B$17</definedName>
    <definedName name="n3_Flyback">'Flyback CCM'!$D$18</definedName>
    <definedName name="n3_Flyback_Calc">'Flyback CCM'!$B$18</definedName>
    <definedName name="n3_FlyBB">'Fly-Buck-Boost'!$E$17</definedName>
    <definedName name="n3_FlyBB_Calc">'Fly-Buck-Boost'!$B$17</definedName>
    <definedName name="n4_FlyB">'Fly-Buck'!$E$18</definedName>
    <definedName name="n4_FlyB_Calc">'Fly-Buck'!$B$18</definedName>
    <definedName name="n4_Flyback">'Flyback CCM'!$D$19</definedName>
    <definedName name="n4_Flyback_Calc">'Flyback CCM'!$B$19</definedName>
    <definedName name="n4_FlyBB">'Fly-Buck-Boost'!$E$18</definedName>
    <definedName name="n4_FlyBB_Calc">'Fly-Buck-Boost'!$B$18</definedName>
    <definedName name="n5_FlyB">'Fly-Buck'!$E$19</definedName>
    <definedName name="n5_FlyB_Calc">'Fly-Buck'!$B$19</definedName>
    <definedName name="n5_Flyback">'Flyback CCM'!$D$20</definedName>
    <definedName name="n5_Flyback_Calc">'Flyback CCM'!$B$20</definedName>
    <definedName name="n5_FlyBB">'Fly-Buck-Boost'!$E$19</definedName>
    <definedName name="n5_FlyBB_Calc">'Fly-Buck-Boost'!$B$19</definedName>
    <definedName name="n6_FlyB">'Fly-Buck'!$E$20</definedName>
    <definedName name="n6_FlyB_Calc">'Fly-Buck'!$B$20</definedName>
    <definedName name="n6_Flyback">'Flyback CCM'!$D$21</definedName>
    <definedName name="n6_Flyback_Calc">'Flyback CCM'!$B$21</definedName>
    <definedName name="n6_FlyBB">'Fly-Buck-Boost'!$E$20</definedName>
    <definedName name="n6_FlyBB_Calc">'Fly-Buck-Boost'!$B$20</definedName>
    <definedName name="nAux_Flyback">'Flyback CCM'!$D$22</definedName>
    <definedName name="nAUX_Flyback_Calc">'Flyback CCM'!$B$22</definedName>
    <definedName name="Np">Constants!$B$4</definedName>
    <definedName name="Np_T_FB">Transformer!$B$28</definedName>
    <definedName name="Np_T_FBB">Transformer!$B$64</definedName>
    <definedName name="Np_T_Flyback_CCM">Transformer!$B$99</definedName>
    <definedName name="Np_T_Flyback_DCM">Transformer!$B$136</definedName>
    <definedName name="Ns1_FBack_Calc">Flyback_CCM_Calc!$B$10</definedName>
    <definedName name="Ns1_FlyB">'Fly-Buck_Calc'!$B$13</definedName>
    <definedName name="Ns1_FlyB_Calc">'Fly-Buck_Calc'!$B$12</definedName>
    <definedName name="Ns1_Flyback">Flyback_CCM_Calc!$B$11</definedName>
    <definedName name="Ns1_FlyBB">'Fly-BB_Calc'!$B$13</definedName>
    <definedName name="Ns1_FlyBB_Calc">'Fly-BB_Calc'!$B$12</definedName>
    <definedName name="Ns2_FBack_Calc">Flyback_CCM_Calc!$B$12</definedName>
    <definedName name="Ns2_FlyB">'Fly-Buck_Calc'!$B$15</definedName>
    <definedName name="Ns2_FlyB_Calc">'Fly-Buck_Calc'!$B$14</definedName>
    <definedName name="Ns2_Flyback">Flyback_CCM_Calc!$B$13</definedName>
    <definedName name="Ns2_FlyBB">'Fly-BB_Calc'!$B$15</definedName>
    <definedName name="Ns2_FlyBB_Calc">'Fly-BB_Calc'!$B$14</definedName>
    <definedName name="Ns3_FBack_Calc">Flyback_CCM_Calc!$B$14</definedName>
    <definedName name="Ns3_FlyB">'Fly-Buck_Calc'!$B$17</definedName>
    <definedName name="Ns3_FlyB_Calc">'Fly-Buck_Calc'!$B$16</definedName>
    <definedName name="Ns3_Flyback">Flyback_CCM_Calc!$B$15</definedName>
    <definedName name="Ns3_FlyBB">'Fly-BB_Calc'!$B$17</definedName>
    <definedName name="Ns3_FlyBB_Calc">'Fly-BB_Calc'!$B$16</definedName>
    <definedName name="Ns4_FBack_Calc">Flyback_CCM_Calc!$B$16</definedName>
    <definedName name="Ns4_FlyB">'Fly-Buck_Calc'!$B$19</definedName>
    <definedName name="Ns4_FlyB_Calc">'Fly-Buck_Calc'!$B$18</definedName>
    <definedName name="Ns4_Flyback">Flyback_CCM_Calc!$B$17</definedName>
    <definedName name="Ns4_FlyBB">'Fly-BB_Calc'!$B$19</definedName>
    <definedName name="Ns4_FlyBB_Calc">'Fly-BB_Calc'!$B$18</definedName>
    <definedName name="Ns5_FBack_Calc">Flyback_CCM_Calc!$B$18</definedName>
    <definedName name="Ns5_FlyB">'Fly-Buck_Calc'!$B$21</definedName>
    <definedName name="Ns5_FlyB_Calc">'Fly-Buck_Calc'!$B$20</definedName>
    <definedName name="Ns5_Flyback">Flyback_CCM_Calc!$B$19</definedName>
    <definedName name="Ns5_FlyBB">'Fly-BB_Calc'!$B$21</definedName>
    <definedName name="Ns5_FlyBB_Calc">'Fly-BB_Calc'!$B$20</definedName>
    <definedName name="Ns6_FBack_Calc">Flyback_CCM_Calc!$B$20</definedName>
    <definedName name="Ns6_FlyB">'Fly-Buck_Calc'!$B$23</definedName>
    <definedName name="Ns6_FlyB_Calc">'Fly-Buck_Calc'!$B$22</definedName>
    <definedName name="Ns6_Flyback">Flyback_CCM_Calc!$B$21</definedName>
    <definedName name="Ns6_FlyBB">'Fly-BB_Calc'!$B$23</definedName>
    <definedName name="Ns6_FlyBB_Calc">'Fly-BB_Calc'!$B$22</definedName>
    <definedName name="NsAux_FBack_Calc">Flyback_CCM_Calc!$B$22</definedName>
    <definedName name="NsAux_Flyback">Flyback_CCM_Calc!$B$23</definedName>
    <definedName name="NVAUX_T_Flyback_CCM">Transformer!$B$106</definedName>
    <definedName name="NVAUX_T_Flyback_DCM">Transformer!$B$143</definedName>
    <definedName name="NVout1_T_FB">Transformer!$B$29</definedName>
    <definedName name="NVout1_T_FBB">Transformer!$B$65</definedName>
    <definedName name="NVout1_T_Flyback_CCM">Transformer!$B$100</definedName>
    <definedName name="NVout1_T_Flyback_DCM">Transformer!$B$137</definedName>
    <definedName name="NVout2_T_FB">Transformer!$B$30</definedName>
    <definedName name="NVout2_T_FBB">Transformer!$B$66</definedName>
    <definedName name="NVout2_T_Flyback_CCM">Transformer!$B$101</definedName>
    <definedName name="NVout2_T_Flyback_DCM">Transformer!$B$138</definedName>
    <definedName name="NVout3_T_FB">Transformer!$B$31</definedName>
    <definedName name="NVout3_T_FBB">Transformer!$B$67</definedName>
    <definedName name="NVout3_T_Flyback_CCM">Transformer!$B$102</definedName>
    <definedName name="NVout3_T_Flyback_DCM">Transformer!$B$139</definedName>
    <definedName name="NVout4_T_FB">Transformer!$B$32</definedName>
    <definedName name="NVout4_T_FBB">Transformer!$B$68</definedName>
    <definedName name="NVout4_T_Flyback_CCM">Transformer!$B$103</definedName>
    <definedName name="NVout4_T_Flyback_DCM">Transformer!$B$140</definedName>
    <definedName name="NVout5_T_FB">Transformer!$B$33</definedName>
    <definedName name="NVout5_T_FBB">Transformer!$B$69</definedName>
    <definedName name="NVout5_T_Flyback_CCM">Transformer!$B$104</definedName>
    <definedName name="NVout5_T_Flyback_DCM">Transformer!$B$141</definedName>
    <definedName name="NVout6_T_FB">Transformer!$B$34</definedName>
    <definedName name="NVout6_T_FBB">Transformer!$B$70</definedName>
    <definedName name="NVout6_T_Flyback_CCM">Transformer!$B$105</definedName>
    <definedName name="NVout6_T_Flyback_DCM">Transformer!$B$142</definedName>
    <definedName name="pcu">Constants!$B$8</definedName>
    <definedName name="pcu_100C">Constants!$B$9</definedName>
    <definedName name="Pcu_Loss_FB">Transformer!$B$16</definedName>
    <definedName name="Pcu_Loss_FBB">Transformer!$B$48</definedName>
    <definedName name="Pcu_Loss_Flyback_CCM">Transformer!$B$87</definedName>
    <definedName name="Pcu_Loss_Flyback_DCM">Transformer!$B$124</definedName>
    <definedName name="PermAir">Constants!$B$7</definedName>
    <definedName name="Pout_FB">Designs!$B$62</definedName>
    <definedName name="Pout_FBB">Designs!$B$63</definedName>
    <definedName name="Pout_Flyback">Designs!$B$64</definedName>
    <definedName name="Pout_Step">Constants!$B$6</definedName>
    <definedName name="Rac1_FB">Transformer!$M$37</definedName>
    <definedName name="Rac1_FBB">Transformer!$M$73</definedName>
    <definedName name="Rac1_Flyback_CCM">Transformer!$M$109</definedName>
    <definedName name="Rac1_Flyback_DCM">Transformer!$M$146</definedName>
    <definedName name="Rac2_FB">Transformer!$M$38</definedName>
    <definedName name="Rac2_FBB">Transformer!$M$74</definedName>
    <definedName name="Rac2_Flyback_CCM">Transformer!$M$110</definedName>
    <definedName name="Rac2_Flyback_DCM">Transformer!$M$147</definedName>
    <definedName name="Rac3_FB">Transformer!$M$39</definedName>
    <definedName name="Rac3_FBB">Transformer!$M$75</definedName>
    <definedName name="Rac3_Flyback_CCM">Transformer!$M$111</definedName>
    <definedName name="Rac3_Flyback_DCM">Transformer!$M$148</definedName>
    <definedName name="Rac4_FB">Transformer!$M$40</definedName>
    <definedName name="Rac4_FBB">Transformer!$M$76</definedName>
    <definedName name="Rac4_Flyback_CCM">Transformer!$M$112</definedName>
    <definedName name="Rac4_Flyback_DCM">Transformer!$M$149</definedName>
    <definedName name="Rac5_FB">Transformer!$M$41</definedName>
    <definedName name="Rac5_FBB">Transformer!$M$77</definedName>
    <definedName name="Rac5_Flyback_CCM">Transformer!$M$113</definedName>
    <definedName name="Rac5_Flyback_DCM">Transformer!$M$150</definedName>
    <definedName name="Rac6_FB">Transformer!$M$42</definedName>
    <definedName name="Rac6_FBB">Transformer!$M$78</definedName>
    <definedName name="Rac6_Flyback_CCM">Transformer!$M$114</definedName>
    <definedName name="Rac6_Flyback_DCM">Transformer!$M$151</definedName>
    <definedName name="RacAUX_Flyback_CCM">Transformer!$M$115</definedName>
    <definedName name="RacAUX_Flyback_DCM">Transformer!$M$152</definedName>
    <definedName name="RacPri_FB">Transformer!$M$36</definedName>
    <definedName name="RacPri_FBB">Transformer!$M$72</definedName>
    <definedName name="RacPri_Flyback_CCM">Transformer!$M$108</definedName>
    <definedName name="RacPri_Flyback_DCM">Transformer!$M$145</definedName>
    <definedName name="Rdc1_FB">Transformer!$J$37</definedName>
    <definedName name="Rdc1_FBB">Transformer!$J$73</definedName>
    <definedName name="Rdc1_Flyback_CCM">Transformer!$J$109</definedName>
    <definedName name="Rdc1_Flyback_DCM">Transformer!$J$146</definedName>
    <definedName name="Rdc2_FB">Transformer!$J$38</definedName>
    <definedName name="Rdc2_FBB">Transformer!$J$74</definedName>
    <definedName name="Rdc2_Flyback_CCM">Transformer!$J$110</definedName>
    <definedName name="Rdc2_Flyback_DCM">Transformer!$J$147</definedName>
    <definedName name="Rdc3_FB">Transformer!$J$39</definedName>
    <definedName name="Rdc3_FBB">Transformer!$J$75</definedName>
    <definedName name="Rdc3_Flyback_CCM">Transformer!$J$111</definedName>
    <definedName name="Rdc3_Flyback_DCM">Transformer!$J$148</definedName>
    <definedName name="Rdc4_FB">Transformer!$J$40</definedName>
    <definedName name="Rdc4_FBB">Transformer!$J$76</definedName>
    <definedName name="Rdc4_Flyback_CCM">Transformer!$J$112</definedName>
    <definedName name="Rdc4_Flyback_DCM">Transformer!$J$149</definedName>
    <definedName name="Rdc5_FB">Transformer!$J$41</definedName>
    <definedName name="Rdc5_FBB">Transformer!$J$77</definedName>
    <definedName name="Rdc5_Flyback_CCM">Transformer!$J$113</definedName>
    <definedName name="Rdc5_Flyback_DCM">Transformer!$J$150</definedName>
    <definedName name="Rdc6_FB">Transformer!$J$42</definedName>
    <definedName name="Rdc6_FBB">Transformer!$J$78</definedName>
    <definedName name="Rdc6_Flyback_CCM">Transformer!$J$114</definedName>
    <definedName name="Rdc6_Flyback_DCM">Transformer!$J$151</definedName>
    <definedName name="RdcAUX_Flyback_CCM">Transformer!$J$115</definedName>
    <definedName name="RdcAUX_Flyback_DCM">Transformer!$J$152</definedName>
    <definedName name="RdcPri_FB">Transformer!$J$36</definedName>
    <definedName name="RdcPri_FBB">Transformer!$J$72</definedName>
    <definedName name="RdcPri_Flyback_CCM">Transformer!$J$108</definedName>
    <definedName name="RdcPri_Flyback_DCM">Transformer!$J$145</definedName>
    <definedName name="Rip" localSheetId="18">'Fly-Buck_Max'!#REF!</definedName>
    <definedName name="Rip">[1]Sheet1!$E$4</definedName>
    <definedName name="RR">Designs!$B$11</definedName>
    <definedName name="STEP_SIZE">[1]Sheet3!$A$7</definedName>
    <definedName name="T_Index_FB">Transformer!$E$11</definedName>
    <definedName name="T_Index_FBB">Transformer!$E$48</definedName>
    <definedName name="T_Index_Flyback_CCM">Transformer!$E$82</definedName>
    <definedName name="T_Index_Flyback_DCM">Transformer!$E$119</definedName>
    <definedName name="T_Rise_Fall">Constants!$B$10</definedName>
    <definedName name="TC_3C92">Trans_Core!$T$27</definedName>
    <definedName name="TC_3C96">Trans_Core!$T$28</definedName>
    <definedName name="TC_3F35">Trans_Core!$T$25</definedName>
    <definedName name="TC_3F36">Trans_Core!$T$26</definedName>
    <definedName name="Vclamp_Flyback_CCM">'Flyback CCM'!$B$78</definedName>
    <definedName name="Vclamp_Flyback_DCM">'Flyback DCM'!$B$75</definedName>
    <definedName name="Vdiode1">Designs!$B$35</definedName>
    <definedName name="Vdiode2">Designs!$B$40</definedName>
    <definedName name="Vdiode3">Designs!$B$45</definedName>
    <definedName name="Vdiode4">Designs!$B$50</definedName>
    <definedName name="Vdiode5">Designs!$B$55</definedName>
    <definedName name="Vdiode6">Designs!$B$60</definedName>
    <definedName name="VdiodeAux">Designs!$B$29</definedName>
    <definedName name="Ve_FB">Transformer!$B$22</definedName>
    <definedName name="Ve_FBB">Transformer!$F$57</definedName>
    <definedName name="Ve_Flyback_CCM">Transformer!$B$93</definedName>
    <definedName name="Ve_Flyback_DCM">Transformer!$B$130</definedName>
    <definedName name="VIN_MAX">[1]Sheet3!$L$4</definedName>
    <definedName name="VIN_MIN">[1]Sheet3!$L$3</definedName>
    <definedName name="VinMax">Designs!$B$7</definedName>
    <definedName name="VinMin">Designs!$B$5</definedName>
    <definedName name="VinNom">Designs!$B$6</definedName>
    <definedName name="Vout1">Designs!$B$32</definedName>
    <definedName name="Vout1_Ripple">Designs!$B$34</definedName>
    <definedName name="Vout2">Designs!$B$37</definedName>
    <definedName name="Vout2_Ripple">Designs!$B$39</definedName>
    <definedName name="Vout3">Designs!$B$42</definedName>
    <definedName name="Vout3_Ripple">Designs!$B$44</definedName>
    <definedName name="Vout4">Designs!$B$47</definedName>
    <definedName name="Vout4_Ripple">Designs!$B$49</definedName>
    <definedName name="Vout5">Designs!$B$52</definedName>
    <definedName name="Vout5_Ripple">Designs!$B$54</definedName>
    <definedName name="Vout6">Designs!$B$57</definedName>
    <definedName name="Vout6_Ripple">Designs!$B$59</definedName>
    <definedName name="VOUTAUX">Designs!$B$26</definedName>
    <definedName name="VoutAUX_Ripple">Designs!$B$28</definedName>
    <definedName name="VoutPri_FB">Designs!$B$17</definedName>
    <definedName name="VoutPri_FBB">Designs!$B$22</definedName>
    <definedName name="VoutPri_Ripple_FB">Designs!$B$19</definedName>
    <definedName name="VoutPri_Ripple_FBB">Designs!$B$24</definedName>
    <definedName name="Vpmax">'[1]Vijay Max'!$D$5</definedName>
    <definedName name="Vpri" localSheetId="16">'[1]Vijay Max'!$D$4</definedName>
    <definedName name="Vpri" localSheetId="18">'Fly-Buck_Max'!$D$4</definedName>
    <definedName name="Vpri">[1]Sheet1!$E$5</definedName>
    <definedName name="Wa_FB">Transformer!$B$23</definedName>
    <definedName name="Wa_FBB">Transformer!$F$58</definedName>
    <definedName name="Wa_Flyback_CCM">Transformer!$B$94</definedName>
    <definedName name="Wa_Flyback_DCM">Transformer!$B$131</definedName>
    <definedName name="x_3C92">Trans_Core!$O$27</definedName>
    <definedName name="x_3C96">Trans_Core!$O$28</definedName>
    <definedName name="x_3F35">Trans_Core!$O$25</definedName>
    <definedName name="x_3F36">Trans_Core!$O$26</definedName>
    <definedName name="y_3C92">Trans_Core!$P$27</definedName>
    <definedName name="y_3C96">Trans_Core!$P$28</definedName>
    <definedName name="y_3F35">Trans_Core!$P$25</definedName>
    <definedName name="y_3F36">Trans_Core!$P$26</definedName>
  </definedNames>
  <calcPr calcId="145621"/>
</workbook>
</file>

<file path=xl/calcChain.xml><?xml version="1.0" encoding="utf-8"?>
<calcChain xmlns="http://schemas.openxmlformats.org/spreadsheetml/2006/main">
  <c r="CE5" i="9" l="1"/>
  <c r="CF5" i="9"/>
  <c r="CG5" i="9"/>
  <c r="CH5" i="9"/>
  <c r="CI5" i="9"/>
  <c r="CJ5" i="9"/>
  <c r="CK5" i="9"/>
  <c r="CL5" i="9"/>
  <c r="CM5" i="9"/>
  <c r="CN5" i="9"/>
  <c r="CO5" i="9"/>
  <c r="CP5" i="9"/>
  <c r="CQ5" i="9"/>
  <c r="CE6" i="9"/>
  <c r="CF6" i="9"/>
  <c r="CG6" i="9"/>
  <c r="CH6" i="9"/>
  <c r="CI6" i="9"/>
  <c r="CJ6" i="9"/>
  <c r="CK6" i="9"/>
  <c r="CL6" i="9"/>
  <c r="CM6" i="9"/>
  <c r="CN6" i="9"/>
  <c r="CO6" i="9"/>
  <c r="CP6" i="9"/>
  <c r="CQ6" i="9"/>
  <c r="CE7" i="9"/>
  <c r="CF7" i="9"/>
  <c r="CG7" i="9"/>
  <c r="CH7" i="9"/>
  <c r="CI7" i="9"/>
  <c r="CJ7" i="9"/>
  <c r="CK7" i="9"/>
  <c r="CL7" i="9"/>
  <c r="CM7" i="9"/>
  <c r="CN7" i="9"/>
  <c r="CO7" i="9"/>
  <c r="CP7" i="9"/>
  <c r="CQ7" i="9"/>
  <c r="CE8" i="9"/>
  <c r="CF8" i="9"/>
  <c r="CG8" i="9"/>
  <c r="CH8" i="9"/>
  <c r="CI8" i="9"/>
  <c r="CJ8" i="9"/>
  <c r="CK8" i="9"/>
  <c r="CL8" i="9"/>
  <c r="CM8" i="9"/>
  <c r="CN8" i="9"/>
  <c r="CO8" i="9"/>
  <c r="CP8" i="9"/>
  <c r="CQ8" i="9"/>
  <c r="CE9" i="9"/>
  <c r="CF9" i="9"/>
  <c r="CG9" i="9"/>
  <c r="CH9" i="9"/>
  <c r="CI9" i="9"/>
  <c r="CJ9" i="9"/>
  <c r="CK9" i="9"/>
  <c r="CL9" i="9"/>
  <c r="CM9" i="9"/>
  <c r="CN9" i="9"/>
  <c r="CO9" i="9"/>
  <c r="CP9" i="9"/>
  <c r="CQ9" i="9"/>
  <c r="CE10" i="9"/>
  <c r="CF10" i="9"/>
  <c r="CG10" i="9"/>
  <c r="CH10" i="9"/>
  <c r="CI10" i="9"/>
  <c r="CJ10" i="9"/>
  <c r="CK10" i="9"/>
  <c r="CL10" i="9"/>
  <c r="CM10" i="9"/>
  <c r="CN10" i="9"/>
  <c r="CO10" i="9"/>
  <c r="CP10" i="9"/>
  <c r="CQ10" i="9"/>
  <c r="CE11" i="9"/>
  <c r="CF11" i="9"/>
  <c r="CG11" i="9"/>
  <c r="CH11" i="9"/>
  <c r="CI11" i="9"/>
  <c r="CJ11" i="9"/>
  <c r="CK11" i="9"/>
  <c r="CL11" i="9"/>
  <c r="CM11" i="9"/>
  <c r="CN11" i="9"/>
  <c r="CO11" i="9"/>
  <c r="CP11" i="9"/>
  <c r="CQ11" i="9"/>
  <c r="CE12" i="9"/>
  <c r="CF12" i="9"/>
  <c r="CG12" i="9"/>
  <c r="CH12" i="9"/>
  <c r="CI12" i="9"/>
  <c r="CJ12" i="9"/>
  <c r="CK12" i="9"/>
  <c r="CL12" i="9"/>
  <c r="CM12" i="9"/>
  <c r="CN12" i="9"/>
  <c r="CO12" i="9"/>
  <c r="CP12" i="9"/>
  <c r="CQ12" i="9"/>
  <c r="CE13" i="9"/>
  <c r="CF13" i="9"/>
  <c r="CG13" i="9"/>
  <c r="CH13" i="9"/>
  <c r="CI13" i="9"/>
  <c r="CJ13" i="9"/>
  <c r="CK13" i="9"/>
  <c r="CL13" i="9"/>
  <c r="CM13" i="9"/>
  <c r="CN13" i="9"/>
  <c r="CO13" i="9"/>
  <c r="CP13" i="9"/>
  <c r="CQ13" i="9"/>
  <c r="CE14" i="9"/>
  <c r="CF14" i="9"/>
  <c r="CG14" i="9"/>
  <c r="CH14" i="9"/>
  <c r="CI14" i="9"/>
  <c r="CJ14" i="9"/>
  <c r="CK14" i="9"/>
  <c r="CL14" i="9"/>
  <c r="CM14" i="9"/>
  <c r="CN14" i="9"/>
  <c r="CO14" i="9"/>
  <c r="CP14" i="9"/>
  <c r="CQ14" i="9"/>
  <c r="CE15" i="9"/>
  <c r="CF15" i="9"/>
  <c r="CG15" i="9"/>
  <c r="CH15" i="9"/>
  <c r="CI15" i="9"/>
  <c r="CJ15" i="9"/>
  <c r="CK15" i="9"/>
  <c r="CL15" i="9"/>
  <c r="CM15" i="9"/>
  <c r="CN15" i="9"/>
  <c r="CO15" i="9"/>
  <c r="CP15" i="9"/>
  <c r="CQ15" i="9"/>
  <c r="CE16" i="9"/>
  <c r="CF16" i="9"/>
  <c r="CG16" i="9"/>
  <c r="CH16" i="9"/>
  <c r="CI16" i="9"/>
  <c r="CJ16" i="9"/>
  <c r="CK16" i="9"/>
  <c r="CL16" i="9"/>
  <c r="CM16" i="9"/>
  <c r="CN16" i="9"/>
  <c r="CO16" i="9"/>
  <c r="CP16" i="9"/>
  <c r="CQ16" i="9"/>
  <c r="CE17" i="9"/>
  <c r="CF17" i="9"/>
  <c r="CG17" i="9"/>
  <c r="CH17" i="9"/>
  <c r="CI17" i="9"/>
  <c r="CJ17" i="9"/>
  <c r="CK17" i="9"/>
  <c r="CL17" i="9"/>
  <c r="CM17" i="9"/>
  <c r="CN17" i="9"/>
  <c r="CO17" i="9"/>
  <c r="CP17" i="9"/>
  <c r="CQ17" i="9"/>
  <c r="CE18" i="9"/>
  <c r="CF18" i="9"/>
  <c r="CG18" i="9"/>
  <c r="CH18" i="9"/>
  <c r="CI18" i="9"/>
  <c r="CJ18" i="9"/>
  <c r="CK18" i="9"/>
  <c r="CL18" i="9"/>
  <c r="CM18" i="9"/>
  <c r="CN18" i="9"/>
  <c r="CO18" i="9"/>
  <c r="CP18" i="9"/>
  <c r="CQ18" i="9"/>
  <c r="CE19" i="9"/>
  <c r="CF19" i="9"/>
  <c r="CG19" i="9"/>
  <c r="CH19" i="9"/>
  <c r="CI19" i="9"/>
  <c r="CJ19" i="9"/>
  <c r="CK19" i="9"/>
  <c r="CL19" i="9"/>
  <c r="CM19" i="9"/>
  <c r="CN19" i="9"/>
  <c r="CO19" i="9"/>
  <c r="CP19" i="9"/>
  <c r="CQ19" i="9"/>
  <c r="CE20" i="9"/>
  <c r="CF20" i="9"/>
  <c r="CG20" i="9"/>
  <c r="CH20" i="9"/>
  <c r="CI20" i="9"/>
  <c r="CJ20" i="9"/>
  <c r="CK20" i="9"/>
  <c r="CL20" i="9"/>
  <c r="CM20" i="9"/>
  <c r="CN20" i="9"/>
  <c r="CO20" i="9"/>
  <c r="CP20" i="9"/>
  <c r="CQ20" i="9"/>
  <c r="CE21" i="9"/>
  <c r="CF21" i="9"/>
  <c r="CG21" i="9"/>
  <c r="CH21" i="9"/>
  <c r="CI21" i="9"/>
  <c r="CJ21" i="9"/>
  <c r="CK21" i="9"/>
  <c r="CL21" i="9"/>
  <c r="CM21" i="9"/>
  <c r="CN21" i="9"/>
  <c r="CO21" i="9"/>
  <c r="CP21" i="9"/>
  <c r="CQ21" i="9"/>
  <c r="CE22" i="9"/>
  <c r="CF22" i="9"/>
  <c r="CG22" i="9"/>
  <c r="CH22" i="9"/>
  <c r="CI22" i="9"/>
  <c r="CJ22" i="9"/>
  <c r="CK22" i="9"/>
  <c r="CL22" i="9"/>
  <c r="CM22" i="9"/>
  <c r="CN22" i="9"/>
  <c r="CO22" i="9"/>
  <c r="CP22" i="9"/>
  <c r="CQ22" i="9"/>
  <c r="CE23" i="9"/>
  <c r="CF23" i="9"/>
  <c r="CG23" i="9"/>
  <c r="CH23" i="9"/>
  <c r="CI23" i="9"/>
  <c r="CJ23" i="9"/>
  <c r="CK23" i="9"/>
  <c r="CL23" i="9"/>
  <c r="CM23" i="9"/>
  <c r="CN23" i="9"/>
  <c r="CO23" i="9"/>
  <c r="CP23" i="9"/>
  <c r="CQ23" i="9"/>
  <c r="CE24" i="9"/>
  <c r="CF24" i="9"/>
  <c r="CG24" i="9"/>
  <c r="CH24" i="9"/>
  <c r="CI24" i="9"/>
  <c r="CJ24" i="9"/>
  <c r="CK24" i="9"/>
  <c r="CL24" i="9"/>
  <c r="CM24" i="9"/>
  <c r="CN24" i="9"/>
  <c r="CO24" i="9"/>
  <c r="CP24" i="9"/>
  <c r="CQ24" i="9"/>
  <c r="CE25" i="9"/>
  <c r="CF25" i="9"/>
  <c r="CG25" i="9"/>
  <c r="CH25" i="9"/>
  <c r="CI25" i="9"/>
  <c r="CJ25" i="9"/>
  <c r="CK25" i="9"/>
  <c r="CL25" i="9"/>
  <c r="CM25" i="9"/>
  <c r="CN25" i="9"/>
  <c r="CO25" i="9"/>
  <c r="CP25" i="9"/>
  <c r="CQ25" i="9"/>
  <c r="CE26" i="9"/>
  <c r="CF26" i="9"/>
  <c r="CG26" i="9"/>
  <c r="CH26" i="9"/>
  <c r="CI26" i="9"/>
  <c r="CJ26" i="9"/>
  <c r="CK26" i="9"/>
  <c r="CL26" i="9"/>
  <c r="CM26" i="9"/>
  <c r="CN26" i="9"/>
  <c r="CO26" i="9"/>
  <c r="CP26" i="9"/>
  <c r="CQ26" i="9"/>
  <c r="CE27" i="9"/>
  <c r="CF27" i="9"/>
  <c r="CG27" i="9"/>
  <c r="CH27" i="9"/>
  <c r="CI27" i="9"/>
  <c r="CJ27" i="9"/>
  <c r="CK27" i="9"/>
  <c r="CL27" i="9"/>
  <c r="CM27" i="9"/>
  <c r="CN27" i="9"/>
  <c r="CO27" i="9"/>
  <c r="CP27" i="9"/>
  <c r="CQ27" i="9"/>
  <c r="CE28" i="9"/>
  <c r="CF28" i="9"/>
  <c r="CG28" i="9"/>
  <c r="CH28" i="9"/>
  <c r="CI28" i="9"/>
  <c r="CJ28" i="9"/>
  <c r="CK28" i="9"/>
  <c r="CL28" i="9"/>
  <c r="CM28" i="9"/>
  <c r="CN28" i="9"/>
  <c r="CO28" i="9"/>
  <c r="CP28" i="9"/>
  <c r="CQ28" i="9"/>
  <c r="CE29" i="9"/>
  <c r="CF29" i="9"/>
  <c r="CG29" i="9"/>
  <c r="CH29" i="9"/>
  <c r="CI29" i="9"/>
  <c r="CJ29" i="9"/>
  <c r="CK29" i="9"/>
  <c r="CL29" i="9"/>
  <c r="CM29" i="9"/>
  <c r="CN29" i="9"/>
  <c r="CO29" i="9"/>
  <c r="CP29" i="9"/>
  <c r="CQ29" i="9"/>
  <c r="CE30" i="9"/>
  <c r="CF30" i="9"/>
  <c r="CG30" i="9"/>
  <c r="CH30" i="9"/>
  <c r="CI30" i="9"/>
  <c r="CJ30" i="9"/>
  <c r="CK30" i="9"/>
  <c r="CL30" i="9"/>
  <c r="CM30" i="9"/>
  <c r="CN30" i="9"/>
  <c r="CO30" i="9"/>
  <c r="CP30" i="9"/>
  <c r="CQ30" i="9"/>
  <c r="CE31" i="9"/>
  <c r="CF31" i="9"/>
  <c r="CG31" i="9"/>
  <c r="CH31" i="9"/>
  <c r="CI31" i="9"/>
  <c r="CJ31" i="9"/>
  <c r="CK31" i="9"/>
  <c r="CL31" i="9"/>
  <c r="CM31" i="9"/>
  <c r="CN31" i="9"/>
  <c r="CO31" i="9"/>
  <c r="CP31" i="9"/>
  <c r="CQ31" i="9"/>
  <c r="CE32" i="9"/>
  <c r="CF32" i="9"/>
  <c r="CG32" i="9"/>
  <c r="CH32" i="9"/>
  <c r="CI32" i="9"/>
  <c r="CJ32" i="9"/>
  <c r="CK32" i="9"/>
  <c r="CL32" i="9"/>
  <c r="CM32" i="9"/>
  <c r="CN32" i="9"/>
  <c r="CO32" i="9"/>
  <c r="CP32" i="9"/>
  <c r="CQ32" i="9"/>
  <c r="CE33" i="9"/>
  <c r="CF33" i="9"/>
  <c r="CG33" i="9"/>
  <c r="CH33" i="9"/>
  <c r="CI33" i="9"/>
  <c r="CJ33" i="9"/>
  <c r="CK33" i="9"/>
  <c r="CL33" i="9"/>
  <c r="CM33" i="9"/>
  <c r="CN33" i="9"/>
  <c r="CO33" i="9"/>
  <c r="CP33" i="9"/>
  <c r="CQ33" i="9"/>
  <c r="CE34" i="9"/>
  <c r="CF34" i="9"/>
  <c r="CG34" i="9"/>
  <c r="CH34" i="9"/>
  <c r="CI34" i="9"/>
  <c r="CJ34" i="9"/>
  <c r="CK34" i="9"/>
  <c r="CL34" i="9"/>
  <c r="CM34" i="9"/>
  <c r="CN34" i="9"/>
  <c r="CO34" i="9"/>
  <c r="CP34" i="9"/>
  <c r="CQ34" i="9"/>
  <c r="CE35" i="9"/>
  <c r="CF35" i="9"/>
  <c r="CG35" i="9"/>
  <c r="CH35" i="9"/>
  <c r="CI35" i="9"/>
  <c r="CJ35" i="9"/>
  <c r="CK35" i="9"/>
  <c r="CL35" i="9"/>
  <c r="CM35" i="9"/>
  <c r="CN35" i="9"/>
  <c r="CO35" i="9"/>
  <c r="CP35" i="9"/>
  <c r="CQ35" i="9"/>
  <c r="CE36" i="9"/>
  <c r="CF36" i="9"/>
  <c r="CG36" i="9"/>
  <c r="CH36" i="9"/>
  <c r="CI36" i="9"/>
  <c r="CJ36" i="9"/>
  <c r="CK36" i="9"/>
  <c r="CL36" i="9"/>
  <c r="CM36" i="9"/>
  <c r="CN36" i="9"/>
  <c r="CO36" i="9"/>
  <c r="CP36" i="9"/>
  <c r="CQ36" i="9"/>
  <c r="CE37" i="9"/>
  <c r="CF37" i="9"/>
  <c r="CG37" i="9"/>
  <c r="CH37" i="9"/>
  <c r="CI37" i="9"/>
  <c r="CJ37" i="9"/>
  <c r="CK37" i="9"/>
  <c r="CL37" i="9"/>
  <c r="CM37" i="9"/>
  <c r="CN37" i="9"/>
  <c r="CO37" i="9"/>
  <c r="CP37" i="9"/>
  <c r="CQ37" i="9"/>
  <c r="CE38" i="9"/>
  <c r="CF38" i="9"/>
  <c r="CG38" i="9"/>
  <c r="CH38" i="9"/>
  <c r="CI38" i="9"/>
  <c r="CJ38" i="9"/>
  <c r="CK38" i="9"/>
  <c r="CL38" i="9"/>
  <c r="CM38" i="9"/>
  <c r="CN38" i="9"/>
  <c r="CO38" i="9"/>
  <c r="CP38" i="9"/>
  <c r="CQ38" i="9"/>
  <c r="CE39" i="9"/>
  <c r="CF39" i="9"/>
  <c r="CG39" i="9"/>
  <c r="CH39" i="9"/>
  <c r="CI39" i="9"/>
  <c r="CJ39" i="9"/>
  <c r="CK39" i="9"/>
  <c r="CL39" i="9"/>
  <c r="CM39" i="9"/>
  <c r="CN39" i="9"/>
  <c r="CO39" i="9"/>
  <c r="CP39" i="9"/>
  <c r="CQ39" i="9"/>
  <c r="CE40" i="9"/>
  <c r="CF40" i="9"/>
  <c r="CG40" i="9"/>
  <c r="CH40" i="9"/>
  <c r="CI40" i="9"/>
  <c r="CJ40" i="9"/>
  <c r="CK40" i="9"/>
  <c r="CL40" i="9"/>
  <c r="CM40" i="9"/>
  <c r="CN40" i="9"/>
  <c r="CO40" i="9"/>
  <c r="CP40" i="9"/>
  <c r="CQ40" i="9"/>
  <c r="CE41" i="9"/>
  <c r="CF41" i="9"/>
  <c r="CG41" i="9"/>
  <c r="CH41" i="9"/>
  <c r="CI41" i="9"/>
  <c r="CJ41" i="9"/>
  <c r="CK41" i="9"/>
  <c r="CL41" i="9"/>
  <c r="CM41" i="9"/>
  <c r="CN41" i="9"/>
  <c r="CO41" i="9"/>
  <c r="CP41" i="9"/>
  <c r="CQ41" i="9"/>
  <c r="CE42" i="9"/>
  <c r="CF42" i="9"/>
  <c r="CG42" i="9"/>
  <c r="CH42" i="9"/>
  <c r="CI42" i="9"/>
  <c r="CJ42" i="9"/>
  <c r="CK42" i="9"/>
  <c r="CL42" i="9"/>
  <c r="CM42" i="9"/>
  <c r="CN42" i="9"/>
  <c r="CO42" i="9"/>
  <c r="CP42" i="9"/>
  <c r="CQ42" i="9"/>
  <c r="CE43" i="9"/>
  <c r="CF43" i="9"/>
  <c r="CG43" i="9"/>
  <c r="CH43" i="9"/>
  <c r="CI43" i="9"/>
  <c r="CJ43" i="9"/>
  <c r="CK43" i="9"/>
  <c r="CL43" i="9"/>
  <c r="CM43" i="9"/>
  <c r="CN43" i="9"/>
  <c r="CO43" i="9"/>
  <c r="CP43" i="9"/>
  <c r="CQ43" i="9"/>
  <c r="CE44" i="9"/>
  <c r="CF44" i="9"/>
  <c r="CG44" i="9"/>
  <c r="CH44" i="9"/>
  <c r="CI44" i="9"/>
  <c r="CJ44" i="9"/>
  <c r="CK44" i="9"/>
  <c r="CL44" i="9"/>
  <c r="CM44" i="9"/>
  <c r="CN44" i="9"/>
  <c r="CO44" i="9"/>
  <c r="CP44" i="9"/>
  <c r="CQ44" i="9"/>
  <c r="CE45" i="9"/>
  <c r="CF45" i="9"/>
  <c r="CG45" i="9"/>
  <c r="CH45" i="9"/>
  <c r="CI45" i="9"/>
  <c r="CJ45" i="9"/>
  <c r="CK45" i="9"/>
  <c r="CL45" i="9"/>
  <c r="CM45" i="9"/>
  <c r="CN45" i="9"/>
  <c r="CO45" i="9"/>
  <c r="CP45" i="9"/>
  <c r="CQ45" i="9"/>
  <c r="CE46" i="9"/>
  <c r="CF46" i="9"/>
  <c r="CG46" i="9"/>
  <c r="CH46" i="9"/>
  <c r="CI46" i="9"/>
  <c r="CJ46" i="9"/>
  <c r="CK46" i="9"/>
  <c r="CL46" i="9"/>
  <c r="CM46" i="9"/>
  <c r="CN46" i="9"/>
  <c r="CO46" i="9"/>
  <c r="CP46" i="9"/>
  <c r="CQ46" i="9"/>
  <c r="CE47" i="9"/>
  <c r="CF47" i="9"/>
  <c r="CG47" i="9"/>
  <c r="CH47" i="9"/>
  <c r="CI47" i="9"/>
  <c r="CJ47" i="9"/>
  <c r="CK47" i="9"/>
  <c r="CL47" i="9"/>
  <c r="CM47" i="9"/>
  <c r="CN47" i="9"/>
  <c r="CO47" i="9"/>
  <c r="CP47" i="9"/>
  <c r="CQ47" i="9"/>
  <c r="CE48" i="9"/>
  <c r="CF48" i="9"/>
  <c r="CG48" i="9"/>
  <c r="CH48" i="9"/>
  <c r="CI48" i="9"/>
  <c r="CJ48" i="9"/>
  <c r="CK48" i="9"/>
  <c r="CL48" i="9"/>
  <c r="CM48" i="9"/>
  <c r="CN48" i="9"/>
  <c r="CO48" i="9"/>
  <c r="CP48" i="9"/>
  <c r="CQ48" i="9"/>
  <c r="CE49" i="9"/>
  <c r="CF49" i="9"/>
  <c r="CG49" i="9"/>
  <c r="CH49" i="9"/>
  <c r="CI49" i="9"/>
  <c r="CJ49" i="9"/>
  <c r="CK49" i="9"/>
  <c r="CL49" i="9"/>
  <c r="CM49" i="9"/>
  <c r="CN49" i="9"/>
  <c r="CO49" i="9"/>
  <c r="CP49" i="9"/>
  <c r="CQ49" i="9"/>
  <c r="CE50" i="9"/>
  <c r="CF50" i="9"/>
  <c r="CG50" i="9"/>
  <c r="CH50" i="9"/>
  <c r="CI50" i="9"/>
  <c r="CJ50" i="9"/>
  <c r="CK50" i="9"/>
  <c r="CL50" i="9"/>
  <c r="CM50" i="9"/>
  <c r="CN50" i="9"/>
  <c r="CO50" i="9"/>
  <c r="CP50" i="9"/>
  <c r="CQ50" i="9"/>
  <c r="CE51" i="9"/>
  <c r="CF51" i="9"/>
  <c r="CG51" i="9"/>
  <c r="CH51" i="9"/>
  <c r="CI51" i="9"/>
  <c r="CJ51" i="9"/>
  <c r="CK51" i="9"/>
  <c r="CL51" i="9"/>
  <c r="CM51" i="9"/>
  <c r="CN51" i="9"/>
  <c r="CO51" i="9"/>
  <c r="CP51" i="9"/>
  <c r="CQ51" i="9"/>
  <c r="CE52" i="9"/>
  <c r="CF52" i="9"/>
  <c r="CG52" i="9"/>
  <c r="CH52" i="9"/>
  <c r="CI52" i="9"/>
  <c r="CJ52" i="9"/>
  <c r="CK52" i="9"/>
  <c r="CL52" i="9"/>
  <c r="CM52" i="9"/>
  <c r="CN52" i="9"/>
  <c r="CO52" i="9"/>
  <c r="CP52" i="9"/>
  <c r="CQ52" i="9"/>
  <c r="CE53" i="9"/>
  <c r="CF53" i="9"/>
  <c r="CG53" i="9"/>
  <c r="CH53" i="9"/>
  <c r="CI53" i="9"/>
  <c r="CJ53" i="9"/>
  <c r="CK53" i="9"/>
  <c r="CL53" i="9"/>
  <c r="CM53" i="9"/>
  <c r="CN53" i="9"/>
  <c r="CO53" i="9"/>
  <c r="CP53" i="9"/>
  <c r="CQ53" i="9"/>
  <c r="CE54" i="9"/>
  <c r="CF54" i="9"/>
  <c r="CG54" i="9"/>
  <c r="CH54" i="9"/>
  <c r="CI54" i="9"/>
  <c r="CJ54" i="9"/>
  <c r="CK54" i="9"/>
  <c r="CL54" i="9"/>
  <c r="CM54" i="9"/>
  <c r="CN54" i="9"/>
  <c r="CO54" i="9"/>
  <c r="CP54" i="9"/>
  <c r="CQ54" i="9"/>
  <c r="CQ4" i="9"/>
  <c r="CO4" i="9"/>
  <c r="CM4" i="9"/>
  <c r="CK4" i="9"/>
  <c r="CI4" i="9"/>
  <c r="CE4" i="9"/>
  <c r="CG4" i="9"/>
  <c r="B11" i="7"/>
  <c r="J35" i="1"/>
  <c r="D23" i="26"/>
  <c r="D22" i="26"/>
  <c r="D21" i="26"/>
  <c r="D20" i="26"/>
  <c r="D19" i="26"/>
  <c r="D18" i="26"/>
  <c r="D17" i="26"/>
  <c r="B84" i="1"/>
  <c r="B83" i="1"/>
  <c r="B82" i="1"/>
  <c r="B81" i="1"/>
  <c r="B80" i="1"/>
  <c r="B79" i="1"/>
  <c r="B78" i="1"/>
  <c r="B77" i="1"/>
  <c r="BM5" i="13"/>
  <c r="BM6" i="13"/>
  <c r="BM7" i="13"/>
  <c r="BM4" i="13"/>
  <c r="BL5" i="13"/>
  <c r="BL6" i="13"/>
  <c r="BL7" i="13"/>
  <c r="BL4" i="13"/>
  <c r="B22" i="16" l="1"/>
  <c r="B20" i="16"/>
  <c r="B18" i="16"/>
  <c r="B16" i="16"/>
  <c r="B14" i="16"/>
  <c r="B12" i="16"/>
  <c r="B10" i="16"/>
  <c r="B22" i="9"/>
  <c r="B20" i="9"/>
  <c r="B18" i="9"/>
  <c r="B16" i="9"/>
  <c r="B14" i="9"/>
  <c r="B12" i="9"/>
  <c r="B10" i="9"/>
  <c r="G12" i="16"/>
  <c r="F12" i="16"/>
  <c r="H11" i="16"/>
  <c r="G11" i="16"/>
  <c r="F11" i="16"/>
  <c r="H10" i="16"/>
  <c r="G10" i="16"/>
  <c r="F10" i="16"/>
  <c r="H9" i="16"/>
  <c r="G9" i="16"/>
  <c r="F9" i="16"/>
  <c r="G27" i="9"/>
  <c r="F27" i="9"/>
  <c r="H26" i="9"/>
  <c r="G26" i="9"/>
  <c r="F26" i="9"/>
  <c r="H25" i="9"/>
  <c r="G25" i="9"/>
  <c r="F25" i="9"/>
  <c r="H24" i="9"/>
  <c r="G24" i="9"/>
  <c r="F24" i="9"/>
  <c r="B108" i="8"/>
  <c r="B100" i="8"/>
  <c r="B116" i="8"/>
  <c r="B92" i="8"/>
  <c r="B97" i="8"/>
  <c r="B96" i="8"/>
  <c r="B95" i="8"/>
  <c r="B120" i="8"/>
  <c r="B113" i="8"/>
  <c r="B112" i="8"/>
  <c r="B121" i="8"/>
  <c r="B105" i="8"/>
  <c r="B104" i="8"/>
  <c r="B119" i="8"/>
  <c r="B111" i="8"/>
  <c r="B103" i="8"/>
  <c r="B93" i="8"/>
  <c r="B117" i="8"/>
  <c r="B109" i="8"/>
  <c r="B101" i="8"/>
  <c r="D119" i="8"/>
  <c r="E119" i="8" s="1"/>
  <c r="D95" i="8"/>
  <c r="D103" i="8"/>
  <c r="D111" i="8"/>
  <c r="D121" i="8"/>
  <c r="D120" i="8"/>
  <c r="D118" i="8"/>
  <c r="D117" i="8"/>
  <c r="D113" i="8"/>
  <c r="D112" i="8"/>
  <c r="D110" i="8"/>
  <c r="D109" i="8"/>
  <c r="D105" i="8"/>
  <c r="D104" i="8"/>
  <c r="D102" i="8"/>
  <c r="D101" i="8"/>
  <c r="D97" i="8"/>
  <c r="D96" i="8"/>
  <c r="D94" i="8"/>
  <c r="D93" i="8"/>
  <c r="B103" i="2"/>
  <c r="B104" i="2"/>
  <c r="B120" i="2"/>
  <c r="B119" i="2"/>
  <c r="B118" i="2"/>
  <c r="B117" i="2"/>
  <c r="B116" i="2"/>
  <c r="B115" i="2"/>
  <c r="B112" i="2"/>
  <c r="B111" i="2"/>
  <c r="B110" i="2"/>
  <c r="B109" i="2"/>
  <c r="B108" i="2"/>
  <c r="B107" i="2"/>
  <c r="B102" i="2"/>
  <c r="B101" i="2"/>
  <c r="B100" i="2"/>
  <c r="B99" i="2"/>
  <c r="D120" i="2"/>
  <c r="D119" i="2"/>
  <c r="E119" i="2" s="1"/>
  <c r="D118" i="2"/>
  <c r="E118" i="2" s="1"/>
  <c r="D117" i="2"/>
  <c r="E117" i="2" s="1"/>
  <c r="D116" i="2"/>
  <c r="D112" i="2"/>
  <c r="D111" i="2"/>
  <c r="D110" i="2"/>
  <c r="D109" i="2"/>
  <c r="D108" i="2"/>
  <c r="D104" i="2"/>
  <c r="D103" i="2"/>
  <c r="D102" i="2"/>
  <c r="E102" i="2" s="1"/>
  <c r="D101" i="2"/>
  <c r="E101" i="2" s="1"/>
  <c r="D100" i="2"/>
  <c r="D96" i="2"/>
  <c r="D95" i="2"/>
  <c r="D94" i="2"/>
  <c r="D93" i="2"/>
  <c r="B96" i="2"/>
  <c r="B95" i="2"/>
  <c r="B94" i="2"/>
  <c r="B93" i="2"/>
  <c r="D92" i="2"/>
  <c r="B92" i="2"/>
  <c r="B91" i="2"/>
  <c r="C12" i="27"/>
  <c r="F78" i="27"/>
  <c r="E78" i="27"/>
  <c r="D78" i="27"/>
  <c r="A78" i="27"/>
  <c r="F77" i="27"/>
  <c r="E77" i="27"/>
  <c r="D77" i="27"/>
  <c r="A77" i="27"/>
  <c r="F76" i="27"/>
  <c r="E76" i="27"/>
  <c r="D76" i="27"/>
  <c r="C76" i="27"/>
  <c r="A76" i="27"/>
  <c r="F75" i="27"/>
  <c r="E75" i="27"/>
  <c r="D75" i="27"/>
  <c r="C75" i="27"/>
  <c r="A75" i="27"/>
  <c r="F74" i="27"/>
  <c r="E74" i="27"/>
  <c r="D74" i="27"/>
  <c r="C74" i="27"/>
  <c r="A74" i="27"/>
  <c r="F73" i="27"/>
  <c r="E73" i="27"/>
  <c r="D73" i="27"/>
  <c r="C73" i="27"/>
  <c r="A73" i="27"/>
  <c r="F72" i="27"/>
  <c r="E72" i="27"/>
  <c r="D72" i="27"/>
  <c r="C72" i="27"/>
  <c r="A72" i="27"/>
  <c r="F71" i="27"/>
  <c r="E71" i="27"/>
  <c r="D71" i="27"/>
  <c r="C71" i="27"/>
  <c r="A71" i="27"/>
  <c r="F70" i="27"/>
  <c r="E70" i="27"/>
  <c r="D70" i="27"/>
  <c r="C70" i="27"/>
  <c r="A70" i="27"/>
  <c r="F69" i="27"/>
  <c r="E69" i="27"/>
  <c r="D69" i="27"/>
  <c r="C69" i="27"/>
  <c r="A69" i="27"/>
  <c r="F68" i="27"/>
  <c r="E68" i="27"/>
  <c r="D68" i="27"/>
  <c r="C68" i="27"/>
  <c r="A68" i="27"/>
  <c r="F67" i="27"/>
  <c r="E67" i="27"/>
  <c r="D67" i="27"/>
  <c r="C67" i="27"/>
  <c r="A67" i="27"/>
  <c r="F66" i="27"/>
  <c r="E66" i="27"/>
  <c r="D66" i="27"/>
  <c r="C66" i="27"/>
  <c r="A66" i="27"/>
  <c r="F65" i="27"/>
  <c r="E65" i="27"/>
  <c r="D65" i="27"/>
  <c r="C65" i="27"/>
  <c r="A65" i="27"/>
  <c r="F64" i="27"/>
  <c r="E64" i="27"/>
  <c r="D64" i="27"/>
  <c r="C64" i="27"/>
  <c r="A64" i="27"/>
  <c r="F63" i="27"/>
  <c r="E63" i="27"/>
  <c r="D63" i="27"/>
  <c r="C63" i="27"/>
  <c r="A63" i="27"/>
  <c r="C62" i="27"/>
  <c r="A62" i="27"/>
  <c r="C61" i="27"/>
  <c r="F53" i="27"/>
  <c r="E53" i="27"/>
  <c r="D53" i="27"/>
  <c r="A53" i="27"/>
  <c r="F52" i="27"/>
  <c r="E52" i="27"/>
  <c r="D52" i="27"/>
  <c r="A52" i="27"/>
  <c r="F51" i="27"/>
  <c r="E51" i="27"/>
  <c r="D51" i="27"/>
  <c r="C51" i="27"/>
  <c r="A51" i="27"/>
  <c r="F50" i="27"/>
  <c r="E50" i="27"/>
  <c r="D50" i="27"/>
  <c r="C50" i="27"/>
  <c r="A50" i="27"/>
  <c r="F49" i="27"/>
  <c r="E49" i="27"/>
  <c r="D49" i="27"/>
  <c r="C49" i="27"/>
  <c r="A49" i="27"/>
  <c r="F48" i="27"/>
  <c r="E48" i="27"/>
  <c r="D48" i="27"/>
  <c r="C48" i="27"/>
  <c r="A48" i="27"/>
  <c r="F47" i="27"/>
  <c r="E47" i="27"/>
  <c r="D47" i="27"/>
  <c r="C47" i="27"/>
  <c r="A47" i="27"/>
  <c r="F46" i="27"/>
  <c r="E46" i="27"/>
  <c r="D46" i="27"/>
  <c r="C46" i="27"/>
  <c r="A46" i="27"/>
  <c r="F45" i="27"/>
  <c r="E45" i="27"/>
  <c r="D45" i="27"/>
  <c r="C45" i="27"/>
  <c r="A45" i="27"/>
  <c r="F44" i="27"/>
  <c r="E44" i="27"/>
  <c r="D44" i="27"/>
  <c r="C44" i="27"/>
  <c r="A44" i="27"/>
  <c r="F43" i="27"/>
  <c r="E43" i="27"/>
  <c r="D43" i="27"/>
  <c r="C43" i="27"/>
  <c r="A43" i="27"/>
  <c r="F42" i="27"/>
  <c r="E42" i="27"/>
  <c r="D42" i="27"/>
  <c r="C42" i="27"/>
  <c r="A42" i="27"/>
  <c r="F41" i="27"/>
  <c r="E41" i="27"/>
  <c r="D41" i="27"/>
  <c r="C41" i="27"/>
  <c r="A41" i="27"/>
  <c r="F40" i="27"/>
  <c r="E40" i="27"/>
  <c r="D40" i="27"/>
  <c r="C40" i="27"/>
  <c r="A40" i="27"/>
  <c r="F39" i="27"/>
  <c r="E39" i="27"/>
  <c r="D39" i="27"/>
  <c r="C39" i="27"/>
  <c r="A39" i="27"/>
  <c r="F38" i="27"/>
  <c r="E38" i="27"/>
  <c r="D38" i="27"/>
  <c r="C38" i="27"/>
  <c r="A38" i="27"/>
  <c r="C37" i="27"/>
  <c r="A37" i="27"/>
  <c r="C36" i="27"/>
  <c r="E104" i="8" l="1"/>
  <c r="E105" i="8"/>
  <c r="E117" i="8"/>
  <c r="E120" i="2"/>
  <c r="E111" i="2"/>
  <c r="E100" i="2"/>
  <c r="E94" i="2"/>
  <c r="E108" i="2"/>
  <c r="E113" i="8"/>
  <c r="E95" i="2"/>
  <c r="E109" i="2"/>
  <c r="E96" i="2"/>
  <c r="E110" i="2"/>
  <c r="E112" i="2"/>
  <c r="E103" i="2"/>
  <c r="E112" i="8"/>
  <c r="E116" i="2"/>
  <c r="E93" i="2"/>
  <c r="E109" i="8"/>
  <c r="E93" i="8"/>
  <c r="I10" i="16"/>
  <c r="B37" i="26" s="1"/>
  <c r="I11" i="16"/>
  <c r="B38" i="26" s="1"/>
  <c r="I25" i="9"/>
  <c r="B36" i="23" s="1"/>
  <c r="I9" i="16"/>
  <c r="B36" i="26" s="1"/>
  <c r="I26" i="9"/>
  <c r="B37" i="23" s="1"/>
  <c r="I24" i="9"/>
  <c r="B35" i="23" s="1"/>
  <c r="E92" i="2"/>
  <c r="E104" i="2"/>
  <c r="E95" i="8"/>
  <c r="E96" i="8"/>
  <c r="E120" i="8"/>
  <c r="E97" i="8"/>
  <c r="E121" i="8"/>
  <c r="E101" i="8"/>
  <c r="E103" i="8"/>
  <c r="E111" i="8"/>
  <c r="F28" i="27" l="1"/>
  <c r="E28" i="27"/>
  <c r="D28" i="27"/>
  <c r="A28" i="27"/>
  <c r="F27" i="27"/>
  <c r="E27" i="27"/>
  <c r="D27" i="27"/>
  <c r="A27" i="27"/>
  <c r="F26" i="27"/>
  <c r="E26" i="27"/>
  <c r="D26" i="27"/>
  <c r="C26" i="27"/>
  <c r="A26" i="27"/>
  <c r="F25" i="27"/>
  <c r="E25" i="27"/>
  <c r="D25" i="27"/>
  <c r="C25" i="27"/>
  <c r="A25" i="27"/>
  <c r="F24" i="27"/>
  <c r="E24" i="27"/>
  <c r="D24" i="27"/>
  <c r="C24" i="27"/>
  <c r="A24" i="27"/>
  <c r="F23" i="27"/>
  <c r="E23" i="27"/>
  <c r="D23" i="27"/>
  <c r="C23" i="27"/>
  <c r="A23" i="27"/>
  <c r="F22" i="27"/>
  <c r="E22" i="27"/>
  <c r="D22" i="27"/>
  <c r="C22" i="27"/>
  <c r="A22" i="27"/>
  <c r="F21" i="27"/>
  <c r="E21" i="27"/>
  <c r="D21" i="27"/>
  <c r="C21" i="27"/>
  <c r="A21" i="27"/>
  <c r="F20" i="27"/>
  <c r="E20" i="27"/>
  <c r="D20" i="27"/>
  <c r="C20" i="27"/>
  <c r="A20" i="27"/>
  <c r="F19" i="27"/>
  <c r="E19" i="27"/>
  <c r="D19" i="27"/>
  <c r="C19" i="27"/>
  <c r="A19" i="27"/>
  <c r="F18" i="27"/>
  <c r="E18" i="27"/>
  <c r="D18" i="27"/>
  <c r="C18" i="27"/>
  <c r="A18" i="27"/>
  <c r="F17" i="27"/>
  <c r="E17" i="27"/>
  <c r="D17" i="27"/>
  <c r="C17" i="27"/>
  <c r="A17" i="27"/>
  <c r="F16" i="27"/>
  <c r="E16" i="27"/>
  <c r="D16" i="27"/>
  <c r="C16" i="27"/>
  <c r="A16" i="27"/>
  <c r="F15" i="27"/>
  <c r="E15" i="27"/>
  <c r="D15" i="27"/>
  <c r="C15" i="27"/>
  <c r="A15" i="27"/>
  <c r="F14" i="27"/>
  <c r="E14" i="27"/>
  <c r="D14" i="27"/>
  <c r="C14" i="27"/>
  <c r="A14" i="27"/>
  <c r="F13" i="27"/>
  <c r="E13" i="27"/>
  <c r="D13" i="27"/>
  <c r="C13" i="27"/>
  <c r="A13" i="27"/>
  <c r="A12" i="27"/>
  <c r="C11" i="27"/>
  <c r="G3" i="27"/>
  <c r="B245" i="26" l="1"/>
  <c r="B121" i="16" s="1"/>
  <c r="B244" i="26"/>
  <c r="B120" i="16" s="1"/>
  <c r="B212" i="26"/>
  <c r="B116" i="16" s="1"/>
  <c r="B210" i="26"/>
  <c r="B201" i="26"/>
  <c r="B197" i="26"/>
  <c r="B192" i="26"/>
  <c r="B76" i="26"/>
  <c r="B125" i="25"/>
  <c r="B80" i="8"/>
  <c r="B81" i="8"/>
  <c r="B82" i="8"/>
  <c r="B83" i="8"/>
  <c r="B84" i="8"/>
  <c r="B79" i="8"/>
  <c r="B82" i="2"/>
  <c r="B83" i="2"/>
  <c r="B84" i="2"/>
  <c r="B85" i="2"/>
  <c r="B86" i="2"/>
  <c r="B81" i="2"/>
  <c r="B101" i="16"/>
  <c r="B102" i="16"/>
  <c r="B103" i="16"/>
  <c r="B104" i="16"/>
  <c r="B105" i="16"/>
  <c r="B106" i="16"/>
  <c r="B100" i="16"/>
  <c r="B102" i="9"/>
  <c r="B103" i="9"/>
  <c r="B104" i="9"/>
  <c r="B105" i="9"/>
  <c r="B106" i="9"/>
  <c r="B107" i="9"/>
  <c r="B101" i="9"/>
  <c r="BF15" i="13"/>
  <c r="BF11" i="13"/>
  <c r="B112" i="16"/>
  <c r="B184" i="26" s="1"/>
  <c r="B108" i="16"/>
  <c r="B111" i="16" s="1"/>
  <c r="B186" i="26" s="1"/>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E13" i="16"/>
  <c r="DE12" i="16"/>
  <c r="DE11" i="16"/>
  <c r="DE10" i="16"/>
  <c r="DE9" i="16"/>
  <c r="DE8" i="16"/>
  <c r="DE7" i="16"/>
  <c r="DE6" i="16"/>
  <c r="DE5" i="16"/>
  <c r="DE4" i="16"/>
  <c r="Y13" i="13"/>
  <c r="Y14" i="13"/>
  <c r="Y12" i="13"/>
  <c r="B135" i="9"/>
  <c r="B248" i="23"/>
  <c r="B134" i="9" s="1"/>
  <c r="B247" i="23"/>
  <c r="B133" i="9" s="1"/>
  <c r="B245" i="23"/>
  <c r="B211" i="23"/>
  <c r="B213" i="23"/>
  <c r="B129" i="9" s="1"/>
  <c r="B202" i="23"/>
  <c r="B193" i="23"/>
  <c r="DI29" i="16" l="1"/>
  <c r="DI9" i="16"/>
  <c r="DI25" i="16"/>
  <c r="DI23" i="16"/>
  <c r="DG6" i="16"/>
  <c r="DI17" i="16"/>
  <c r="DI55" i="16"/>
  <c r="DI54" i="16"/>
  <c r="DI46" i="16"/>
  <c r="DG44" i="16"/>
  <c r="DI41" i="16"/>
  <c r="DI31" i="16"/>
  <c r="DG32" i="16"/>
  <c r="DG46" i="16"/>
  <c r="DG37" i="16"/>
  <c r="DG45" i="16"/>
  <c r="DG36" i="16"/>
  <c r="DG26" i="16"/>
  <c r="DG8" i="16"/>
  <c r="DG13" i="16"/>
  <c r="DG18" i="16"/>
  <c r="DG29" i="16"/>
  <c r="DG34" i="16"/>
  <c r="DG5" i="16"/>
  <c r="DG17" i="16"/>
  <c r="DG41" i="16"/>
  <c r="DG53" i="16"/>
  <c r="DG25" i="16"/>
  <c r="DG54" i="16"/>
  <c r="DG16" i="16"/>
  <c r="DG40" i="16"/>
  <c r="DG52" i="16"/>
  <c r="DG14" i="16"/>
  <c r="DG4" i="16"/>
  <c r="DG50" i="16"/>
  <c r="DG21" i="16"/>
  <c r="DG12" i="16"/>
  <c r="DG58" i="16"/>
  <c r="DG49" i="16"/>
  <c r="DG30" i="16"/>
  <c r="DG22" i="16"/>
  <c r="DG57" i="16"/>
  <c r="DG48" i="16"/>
  <c r="DG38" i="16"/>
  <c r="DG28" i="16"/>
  <c r="DG20" i="16"/>
  <c r="DG9" i="16"/>
  <c r="DI57" i="16"/>
  <c r="DI18" i="16"/>
  <c r="DI33" i="16"/>
  <c r="DI47" i="16"/>
  <c r="DI5" i="16"/>
  <c r="DI21" i="16"/>
  <c r="DI34" i="16"/>
  <c r="DI49" i="16"/>
  <c r="DI6" i="16"/>
  <c r="DI22" i="16"/>
  <c r="DI37" i="16"/>
  <c r="DI50" i="16"/>
  <c r="DI15" i="16"/>
  <c r="DI30" i="16"/>
  <c r="DI45" i="16"/>
  <c r="DI58" i="16"/>
  <c r="DI42" i="16"/>
  <c r="DI13" i="16"/>
  <c r="DI38" i="16"/>
  <c r="DI7" i="16"/>
  <c r="DG7" i="16"/>
  <c r="DG11" i="16"/>
  <c r="DG15" i="16"/>
  <c r="DG19" i="16"/>
  <c r="DG23" i="16"/>
  <c r="DG27" i="16"/>
  <c r="DG31" i="16"/>
  <c r="DG35" i="16"/>
  <c r="DG39" i="16"/>
  <c r="DG43" i="16"/>
  <c r="DG47" i="16"/>
  <c r="DG51" i="16"/>
  <c r="DG55" i="16"/>
  <c r="DG59" i="16"/>
  <c r="DG56" i="16"/>
  <c r="DG42" i="16"/>
  <c r="DG33" i="16"/>
  <c r="DG24" i="16"/>
  <c r="DG10" i="16"/>
  <c r="D112" i="16"/>
  <c r="DI8" i="16"/>
  <c r="DI16" i="16"/>
  <c r="DI24" i="16"/>
  <c r="DI32" i="16"/>
  <c r="DI40" i="16"/>
  <c r="DI48" i="16"/>
  <c r="DI56" i="16"/>
  <c r="DI10" i="16"/>
  <c r="DI11" i="16"/>
  <c r="DI19" i="16"/>
  <c r="DI27" i="16"/>
  <c r="DI35" i="16"/>
  <c r="DI43" i="16"/>
  <c r="DI51" i="16"/>
  <c r="DI59" i="16"/>
  <c r="DI12" i="16"/>
  <c r="DI20" i="16"/>
  <c r="DI28" i="16"/>
  <c r="DI36" i="16"/>
  <c r="DI44" i="16"/>
  <c r="DI52" i="16"/>
  <c r="DI4" i="16"/>
  <c r="DI53" i="16"/>
  <c r="DI39" i="16"/>
  <c r="DI26" i="16"/>
  <c r="DI14" i="16"/>
  <c r="DM28" i="16" l="1"/>
  <c r="DM29" i="16"/>
  <c r="DM32" i="16"/>
  <c r="DM31" i="16"/>
  <c r="DM54" i="16"/>
  <c r="DM9" i="16"/>
  <c r="DM45" i="16"/>
  <c r="DM34" i="16"/>
  <c r="DM41" i="16"/>
  <c r="DM22" i="16"/>
  <c r="DM39" i="16"/>
  <c r="DM12" i="16"/>
  <c r="DM25" i="16"/>
  <c r="DM50" i="16"/>
  <c r="DM44" i="16"/>
  <c r="DM14" i="16"/>
  <c r="DM7" i="16"/>
  <c r="DM13" i="16"/>
  <c r="DM18" i="16"/>
  <c r="DM17" i="16"/>
  <c r="DM43" i="16"/>
  <c r="DM6" i="16"/>
  <c r="DM19" i="16"/>
  <c r="DM58" i="16"/>
  <c r="DM36" i="16"/>
  <c r="DM27" i="16"/>
  <c r="DM24" i="16"/>
  <c r="DM38" i="16"/>
  <c r="DM42" i="16"/>
  <c r="DM53" i="16"/>
  <c r="DM59" i="16"/>
  <c r="DM15" i="16"/>
  <c r="DM5" i="16"/>
  <c r="DM26" i="16"/>
  <c r="DM30" i="16"/>
  <c r="DM4" i="16"/>
  <c r="DM48" i="16"/>
  <c r="DM52" i="16"/>
  <c r="DM40" i="16"/>
  <c r="DM21" i="16"/>
  <c r="DM51" i="16"/>
  <c r="DM37" i="16"/>
  <c r="DM35" i="16"/>
  <c r="DM8" i="16"/>
  <c r="DM11" i="16"/>
  <c r="DM49" i="16"/>
  <c r="DM47" i="16"/>
  <c r="DM57" i="16"/>
  <c r="DM16" i="16"/>
  <c r="DM20" i="16"/>
  <c r="DM10" i="16"/>
  <c r="DM56" i="16"/>
  <c r="DM33" i="16"/>
  <c r="DM55" i="16"/>
  <c r="DM23" i="16"/>
  <c r="DM46" i="16"/>
  <c r="B73" i="16" l="1"/>
  <c r="W14" i="13"/>
  <c r="W13" i="13"/>
  <c r="W12" i="13"/>
  <c r="V14" i="13"/>
  <c r="V13" i="13"/>
  <c r="V12" i="13"/>
  <c r="B79" i="16" l="1"/>
  <c r="B92" i="16"/>
  <c r="B200" i="26" s="1"/>
  <c r="B91" i="16"/>
  <c r="B199" i="26" s="1"/>
  <c r="B89" i="16"/>
  <c r="B66" i="26" s="1"/>
  <c r="B80" i="16"/>
  <c r="B82" i="16"/>
  <c r="B74" i="16"/>
  <c r="B84" i="16" s="1"/>
  <c r="B85" i="16"/>
  <c r="B87" i="16"/>
  <c r="B75" i="16"/>
  <c r="B86" i="16"/>
  <c r="B76" i="16"/>
  <c r="B88" i="16"/>
  <c r="B77" i="16"/>
  <c r="B90" i="16"/>
  <c r="B78" i="16"/>
  <c r="B233" i="26" s="1"/>
  <c r="B235" i="26" s="1"/>
  <c r="B198" i="23"/>
  <c r="B64" i="26" l="1"/>
  <c r="B209" i="26"/>
  <c r="B115" i="16" s="1"/>
  <c r="B207" i="26"/>
  <c r="B205" i="26"/>
  <c r="B117" i="16"/>
  <c r="B81" i="16"/>
  <c r="B83" i="16" s="1"/>
  <c r="B109" i="16" s="1"/>
  <c r="B110" i="16" s="1"/>
  <c r="B119" i="9"/>
  <c r="D119" i="9" s="1"/>
  <c r="DF26" i="16" l="1"/>
  <c r="DF35" i="16"/>
  <c r="DF54" i="16"/>
  <c r="DF16" i="16"/>
  <c r="DF24" i="16"/>
  <c r="DF37" i="16"/>
  <c r="DF34" i="16"/>
  <c r="DF44" i="16"/>
  <c r="DF6" i="16"/>
  <c r="DF17" i="16"/>
  <c r="DF23" i="16"/>
  <c r="DF30" i="16"/>
  <c r="DF10" i="16"/>
  <c r="DF14" i="16"/>
  <c r="DF8" i="16"/>
  <c r="DF12" i="16"/>
  <c r="DF59" i="16"/>
  <c r="DF43" i="16"/>
  <c r="DF25" i="16"/>
  <c r="DF38" i="16"/>
  <c r="DF40" i="16"/>
  <c r="DF7" i="16"/>
  <c r="DF41" i="16"/>
  <c r="DF29" i="16"/>
  <c r="DF58" i="16"/>
  <c r="DF39" i="16"/>
  <c r="B113" i="16"/>
  <c r="B203" i="26" s="1"/>
  <c r="DF50" i="16"/>
  <c r="DF19" i="16"/>
  <c r="DF57" i="16"/>
  <c r="DF49" i="16"/>
  <c r="DF46" i="16"/>
  <c r="DF5" i="16"/>
  <c r="DF42" i="16"/>
  <c r="DF51" i="16"/>
  <c r="DF45" i="16"/>
  <c r="DF13" i="16"/>
  <c r="DF32" i="16"/>
  <c r="DF27" i="16"/>
  <c r="DF36" i="16"/>
  <c r="DF53" i="16"/>
  <c r="DF20" i="16"/>
  <c r="DF18" i="16"/>
  <c r="DF55" i="16"/>
  <c r="DF22" i="16"/>
  <c r="DF33" i="16"/>
  <c r="DF21" i="16"/>
  <c r="DF52" i="16"/>
  <c r="DF15" i="16"/>
  <c r="DF9" i="16"/>
  <c r="DF56" i="16"/>
  <c r="DF4" i="16"/>
  <c r="DF48" i="16"/>
  <c r="DF31" i="16"/>
  <c r="DF28" i="16"/>
  <c r="DF11" i="16"/>
  <c r="DF47" i="16"/>
  <c r="DK25" i="16"/>
  <c r="DO25" i="16" s="1"/>
  <c r="DK53" i="16"/>
  <c r="DO53" i="16" s="1"/>
  <c r="DJ18" i="16"/>
  <c r="DJ42" i="16"/>
  <c r="DK8" i="16"/>
  <c r="DO8" i="16" s="1"/>
  <c r="DK37" i="16"/>
  <c r="DO37" i="16" s="1"/>
  <c r="DK4" i="16"/>
  <c r="DO4" i="16" s="1"/>
  <c r="DJ26" i="16"/>
  <c r="DJ50" i="16"/>
  <c r="DK28" i="16"/>
  <c r="DO28" i="16" s="1"/>
  <c r="DK56" i="16"/>
  <c r="DO56" i="16" s="1"/>
  <c r="DJ22" i="16"/>
  <c r="DJ43" i="16"/>
  <c r="DK38" i="16"/>
  <c r="DO38" i="16" s="1"/>
  <c r="DJ28" i="16"/>
  <c r="DK6" i="16"/>
  <c r="DO6" i="16" s="1"/>
  <c r="DK33" i="16"/>
  <c r="DO33" i="16" s="1"/>
  <c r="DK57" i="16"/>
  <c r="DO57" i="16" s="1"/>
  <c r="DJ25" i="16"/>
  <c r="DJ45" i="16"/>
  <c r="DK11" i="16"/>
  <c r="DO11" i="16" s="1"/>
  <c r="DJ8" i="16"/>
  <c r="DJ53" i="16"/>
  <c r="DK19" i="16"/>
  <c r="DO19" i="16" s="1"/>
  <c r="DK45" i="16"/>
  <c r="DO45" i="16" s="1"/>
  <c r="DJ13" i="16"/>
  <c r="DJ35" i="16"/>
  <c r="DJ56" i="16"/>
  <c r="DK21" i="16"/>
  <c r="DO21" i="16" s="1"/>
  <c r="DK49" i="16"/>
  <c r="DO49" i="16" s="1"/>
  <c r="DJ14" i="16"/>
  <c r="DJ38" i="16"/>
  <c r="DJ4" i="16"/>
  <c r="DK17" i="16"/>
  <c r="DO17" i="16" s="1"/>
  <c r="DJ11" i="16"/>
  <c r="DJ33" i="16"/>
  <c r="DK40" i="16"/>
  <c r="DO40" i="16" s="1"/>
  <c r="DJ54" i="16"/>
  <c r="DJ44" i="16"/>
  <c r="DK23" i="16"/>
  <c r="DO23" i="16" s="1"/>
  <c r="DJ31" i="16"/>
  <c r="DK50" i="16"/>
  <c r="DO50" i="16" s="1"/>
  <c r="DK12" i="16"/>
  <c r="DO12" i="16" s="1"/>
  <c r="DJ41" i="16"/>
  <c r="DK20" i="16"/>
  <c r="DO20" i="16" s="1"/>
  <c r="DJ48" i="16"/>
  <c r="DK14" i="16"/>
  <c r="DO14" i="16" s="1"/>
  <c r="DK27" i="16"/>
  <c r="DO27" i="16" s="1"/>
  <c r="DJ32" i="16"/>
  <c r="DJ52" i="16"/>
  <c r="DK31" i="16"/>
  <c r="DO31" i="16" s="1"/>
  <c r="DJ39" i="16"/>
  <c r="DK59" i="16"/>
  <c r="DO59" i="16" s="1"/>
  <c r="DK24" i="16"/>
  <c r="DO24" i="16" s="1"/>
  <c r="DJ51" i="16"/>
  <c r="DK30" i="16"/>
  <c r="DO30" i="16" s="1"/>
  <c r="DJ59" i="16"/>
  <c r="DK58" i="16"/>
  <c r="DO58" i="16" s="1"/>
  <c r="DK47" i="16"/>
  <c r="DO47" i="16" s="1"/>
  <c r="DJ55" i="16"/>
  <c r="DJ21" i="16"/>
  <c r="DK16" i="16"/>
  <c r="DO16" i="16" s="1"/>
  <c r="DJ34" i="16"/>
  <c r="DK43" i="16"/>
  <c r="DO43" i="16" s="1"/>
  <c r="DJ10" i="16"/>
  <c r="DJ30" i="16"/>
  <c r="DK26" i="16"/>
  <c r="DO26" i="16" s="1"/>
  <c r="DJ20" i="16"/>
  <c r="DK51" i="16"/>
  <c r="DO51" i="16" s="1"/>
  <c r="DK22" i="16"/>
  <c r="DO22" i="16" s="1"/>
  <c r="DJ9" i="16"/>
  <c r="DJ5" i="16"/>
  <c r="DJ16" i="16"/>
  <c r="DJ36" i="16"/>
  <c r="DK39" i="16"/>
  <c r="DO39" i="16" s="1"/>
  <c r="DJ47" i="16"/>
  <c r="DJ12" i="16"/>
  <c r="DK34" i="16"/>
  <c r="DO34" i="16" s="1"/>
  <c r="DK5" i="16"/>
  <c r="DO5" i="16" s="1"/>
  <c r="DK42" i="16"/>
  <c r="DO42" i="16" s="1"/>
  <c r="DJ46" i="16"/>
  <c r="DJ24" i="16"/>
  <c r="DK44" i="16"/>
  <c r="DO44" i="16" s="1"/>
  <c r="DK52" i="16"/>
  <c r="DO52" i="16" s="1"/>
  <c r="DK55" i="16"/>
  <c r="DO55" i="16" s="1"/>
  <c r="DK13" i="16"/>
  <c r="DO13" i="16" s="1"/>
  <c r="DK54" i="16"/>
  <c r="DO54" i="16" s="1"/>
  <c r="DJ6" i="16"/>
  <c r="DK9" i="16"/>
  <c r="DO9" i="16" s="1"/>
  <c r="DK35" i="16"/>
  <c r="DO35" i="16" s="1"/>
  <c r="DK7" i="16"/>
  <c r="DO7" i="16" s="1"/>
  <c r="DJ15" i="16"/>
  <c r="DK32" i="16"/>
  <c r="DO32" i="16" s="1"/>
  <c r="DJ49" i="16"/>
  <c r="DJ19" i="16"/>
  <c r="DK46" i="16"/>
  <c r="DO46" i="16" s="1"/>
  <c r="DJ27" i="16"/>
  <c r="DK48" i="16"/>
  <c r="DO48" i="16" s="1"/>
  <c r="DJ57" i="16"/>
  <c r="DK15" i="16"/>
  <c r="DO15" i="16" s="1"/>
  <c r="DJ23" i="16"/>
  <c r="DK41" i="16"/>
  <c r="DO41" i="16" s="1"/>
  <c r="DJ58" i="16"/>
  <c r="DJ29" i="16"/>
  <c r="DK10" i="16"/>
  <c r="DO10" i="16" s="1"/>
  <c r="DJ37" i="16"/>
  <c r="DK29" i="16"/>
  <c r="DO29" i="16" s="1"/>
  <c r="DK18" i="16"/>
  <c r="DO18" i="16" s="1"/>
  <c r="DJ7" i="16"/>
  <c r="DJ40" i="16"/>
  <c r="DK36" i="16"/>
  <c r="DO36" i="16" s="1"/>
  <c r="DJ17" i="16"/>
  <c r="BG13" i="13"/>
  <c r="BG14" i="13"/>
  <c r="BG12" i="13"/>
  <c r="Y9" i="13"/>
  <c r="BG9" i="13" s="1"/>
  <c r="Y10" i="13"/>
  <c r="BG10" i="13" s="1"/>
  <c r="Y8" i="13"/>
  <c r="BG8" i="13" s="1"/>
  <c r="BG11" i="13"/>
  <c r="BG15" i="13"/>
  <c r="DN4" i="16" l="1"/>
  <c r="DN50" i="16"/>
  <c r="DN38" i="16"/>
  <c r="DN30" i="16"/>
  <c r="DN48" i="16"/>
  <c r="DN13" i="16"/>
  <c r="DN10" i="16"/>
  <c r="DN24" i="16"/>
  <c r="DN40" i="16"/>
  <c r="DN52" i="16"/>
  <c r="DN31" i="16"/>
  <c r="DN33" i="16"/>
  <c r="DN32" i="16"/>
  <c r="DN57" i="16"/>
  <c r="DN14" i="16"/>
  <c r="DN37" i="16"/>
  <c r="DN36" i="16"/>
  <c r="DN46" i="16"/>
  <c r="DN7" i="16"/>
  <c r="DN11" i="16"/>
  <c r="DN29" i="16"/>
  <c r="DN12" i="16"/>
  <c r="DN44" i="16"/>
  <c r="DN28" i="16"/>
  <c r="DN21" i="16"/>
  <c r="DN27" i="16"/>
  <c r="DN49" i="16"/>
  <c r="DN41" i="16"/>
  <c r="DN8" i="16"/>
  <c r="DN34" i="16"/>
  <c r="DN55" i="16"/>
  <c r="DN45" i="16"/>
  <c r="DN16" i="16"/>
  <c r="DN56" i="16"/>
  <c r="DN18" i="16"/>
  <c r="DN51" i="16"/>
  <c r="B119" i="16"/>
  <c r="DN25" i="16"/>
  <c r="DN23" i="16"/>
  <c r="DN54" i="16"/>
  <c r="DN19" i="16"/>
  <c r="DN9" i="16"/>
  <c r="DN20" i="16"/>
  <c r="DN42" i="16"/>
  <c r="DN39" i="16"/>
  <c r="DN43" i="16"/>
  <c r="DN17" i="16"/>
  <c r="DN35" i="16"/>
  <c r="DN22" i="16"/>
  <c r="DN47" i="16"/>
  <c r="DN15" i="16"/>
  <c r="DN53" i="16"/>
  <c r="DN5" i="16"/>
  <c r="DN58" i="16"/>
  <c r="DN59" i="16"/>
  <c r="DN6" i="16"/>
  <c r="DN26" i="16"/>
  <c r="DB5" i="9"/>
  <c r="DB6" i="9"/>
  <c r="DB7" i="9"/>
  <c r="DB8" i="9"/>
  <c r="DB9" i="9"/>
  <c r="DB10" i="9"/>
  <c r="DB11" i="9"/>
  <c r="DB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4" i="9"/>
  <c r="DJ58" i="9" l="1"/>
  <c r="DI58" i="9"/>
  <c r="DJ34" i="9"/>
  <c r="DI34" i="9"/>
  <c r="DJ10" i="9"/>
  <c r="DI10" i="9"/>
  <c r="DJ41" i="9"/>
  <c r="DI41" i="9"/>
  <c r="DJ9" i="9"/>
  <c r="DI9" i="9"/>
  <c r="DI56" i="9"/>
  <c r="DJ56" i="9"/>
  <c r="DI32" i="9"/>
  <c r="DJ32" i="9"/>
  <c r="DI16" i="9"/>
  <c r="DJ16" i="9"/>
  <c r="DJ55" i="9"/>
  <c r="DI55" i="9"/>
  <c r="DI53" i="9"/>
  <c r="DJ53" i="9"/>
  <c r="DJ37" i="9"/>
  <c r="DI37" i="9"/>
  <c r="DJ21" i="9"/>
  <c r="DI21" i="9"/>
  <c r="DJ59" i="9"/>
  <c r="DI59" i="9"/>
  <c r="DJ51" i="9"/>
  <c r="DI51" i="9"/>
  <c r="DJ43" i="9"/>
  <c r="DI43" i="9"/>
  <c r="DJ35" i="9"/>
  <c r="DI35" i="9"/>
  <c r="DI27" i="9"/>
  <c r="DJ27" i="9"/>
  <c r="DI19" i="9"/>
  <c r="DJ19" i="9"/>
  <c r="DI11" i="9"/>
  <c r="DJ11" i="9"/>
  <c r="DI42" i="9"/>
  <c r="DJ42" i="9"/>
  <c r="DI18" i="9"/>
  <c r="DJ18" i="9"/>
  <c r="DI57" i="9"/>
  <c r="DJ57" i="9"/>
  <c r="DI33" i="9"/>
  <c r="DJ33" i="9"/>
  <c r="DI17" i="9"/>
  <c r="DJ17" i="9"/>
  <c r="DJ40" i="9"/>
  <c r="DI40" i="9"/>
  <c r="DJ8" i="9"/>
  <c r="DI8" i="9"/>
  <c r="DI47" i="9"/>
  <c r="DJ47" i="9"/>
  <c r="DJ39" i="9"/>
  <c r="DI39" i="9"/>
  <c r="DI31" i="9"/>
  <c r="DJ31" i="9"/>
  <c r="DI23" i="9"/>
  <c r="DJ23" i="9"/>
  <c r="DI15" i="9"/>
  <c r="DJ15" i="9"/>
  <c r="DI7" i="9"/>
  <c r="DJ7" i="9"/>
  <c r="DI54" i="9"/>
  <c r="DJ54" i="9"/>
  <c r="DJ46" i="9"/>
  <c r="DI46" i="9"/>
  <c r="DJ38" i="9"/>
  <c r="DI38" i="9"/>
  <c r="DI30" i="9"/>
  <c r="DJ30" i="9"/>
  <c r="DI22" i="9"/>
  <c r="DJ22" i="9"/>
  <c r="DI14" i="9"/>
  <c r="DJ14" i="9"/>
  <c r="DI6" i="9"/>
  <c r="DJ6" i="9"/>
  <c r="DI50" i="9"/>
  <c r="DJ50" i="9"/>
  <c r="DI26" i="9"/>
  <c r="DJ26" i="9"/>
  <c r="DI49" i="9"/>
  <c r="DJ49" i="9"/>
  <c r="DI25" i="9"/>
  <c r="DJ25" i="9"/>
  <c r="DJ48" i="9"/>
  <c r="DI48" i="9"/>
  <c r="DI24" i="9"/>
  <c r="DJ24" i="9"/>
  <c r="DJ45" i="9"/>
  <c r="DI45" i="9"/>
  <c r="DI29" i="9"/>
  <c r="DJ29" i="9"/>
  <c r="DI13" i="9"/>
  <c r="DJ13" i="9"/>
  <c r="DJ5" i="9"/>
  <c r="DI5" i="9"/>
  <c r="DJ4" i="9"/>
  <c r="DI4" i="9"/>
  <c r="DJ52" i="9"/>
  <c r="DI52" i="9"/>
  <c r="DI44" i="9"/>
  <c r="DJ44" i="9"/>
  <c r="DI36" i="9"/>
  <c r="DJ36" i="9"/>
  <c r="DI28" i="9"/>
  <c r="DJ28" i="9"/>
  <c r="DI20" i="9"/>
  <c r="DJ20" i="9"/>
  <c r="DJ12" i="9"/>
  <c r="DI12" i="9"/>
  <c r="B238" i="26"/>
  <c r="B240" i="26" s="1"/>
  <c r="B242" i="26" s="1"/>
  <c r="DH5" i="16"/>
  <c r="DL5" i="16" s="1"/>
  <c r="DH45" i="16"/>
  <c r="DL45" i="16" s="1"/>
  <c r="DH49" i="16"/>
  <c r="DL49" i="16" s="1"/>
  <c r="DH57" i="16"/>
  <c r="DL57" i="16" s="1"/>
  <c r="DH14" i="16"/>
  <c r="DL14" i="16" s="1"/>
  <c r="DH53" i="16"/>
  <c r="DL53" i="16" s="1"/>
  <c r="DH29" i="16"/>
  <c r="DL29" i="16" s="1"/>
  <c r="DH33" i="16"/>
  <c r="DL33" i="16" s="1"/>
  <c r="DH41" i="16"/>
  <c r="DL41" i="16" s="1"/>
  <c r="DH18" i="16"/>
  <c r="DL18" i="16" s="1"/>
  <c r="DH26" i="16"/>
  <c r="DL26" i="16" s="1"/>
  <c r="DH30" i="16"/>
  <c r="DL30" i="16" s="1"/>
  <c r="DH10" i="16"/>
  <c r="DL10" i="16" s="1"/>
  <c r="DH17" i="16"/>
  <c r="DL17" i="16" s="1"/>
  <c r="DH11" i="16"/>
  <c r="DL11" i="16" s="1"/>
  <c r="DH28" i="16"/>
  <c r="DL28" i="16" s="1"/>
  <c r="DH9" i="16"/>
  <c r="DL9" i="16" s="1"/>
  <c r="DH23" i="16"/>
  <c r="DL23" i="16" s="1"/>
  <c r="DH32" i="16"/>
  <c r="DL32" i="16" s="1"/>
  <c r="DH40" i="16"/>
  <c r="DL40" i="16" s="1"/>
  <c r="DH25" i="16"/>
  <c r="DL25" i="16" s="1"/>
  <c r="DH31" i="16"/>
  <c r="DL31" i="16" s="1"/>
  <c r="DH58" i="16"/>
  <c r="DL58" i="16" s="1"/>
  <c r="DH8" i="16"/>
  <c r="DL8" i="16" s="1"/>
  <c r="DH19" i="16"/>
  <c r="DL19" i="16" s="1"/>
  <c r="DH36" i="16"/>
  <c r="DL36" i="16" s="1"/>
  <c r="DH54" i="16"/>
  <c r="DL54" i="16" s="1"/>
  <c r="DH52" i="16"/>
  <c r="DL52" i="16" s="1"/>
  <c r="DH37" i="16"/>
  <c r="DL37" i="16" s="1"/>
  <c r="DH15" i="16"/>
  <c r="DL15" i="16" s="1"/>
  <c r="DH43" i="16"/>
  <c r="DL43" i="16" s="1"/>
  <c r="DH6" i="16"/>
  <c r="DL6" i="16" s="1"/>
  <c r="DH7" i="16"/>
  <c r="DL7" i="16" s="1"/>
  <c r="DH39" i="16"/>
  <c r="DL39" i="16" s="1"/>
  <c r="DH46" i="16"/>
  <c r="DL46" i="16" s="1"/>
  <c r="DH38" i="16"/>
  <c r="DL38" i="16" s="1"/>
  <c r="DH16" i="16"/>
  <c r="DL16" i="16" s="1"/>
  <c r="DH27" i="16"/>
  <c r="DL27" i="16" s="1"/>
  <c r="DH44" i="16"/>
  <c r="DL44" i="16" s="1"/>
  <c r="DH21" i="16"/>
  <c r="DL21" i="16" s="1"/>
  <c r="DH42" i="16"/>
  <c r="DL42" i="16" s="1"/>
  <c r="DH13" i="16"/>
  <c r="DL13" i="16" s="1"/>
  <c r="DH24" i="16"/>
  <c r="DL24" i="16" s="1"/>
  <c r="DH35" i="16"/>
  <c r="DL35" i="16" s="1"/>
  <c r="DH4" i="16"/>
  <c r="DL4" i="16" s="1"/>
  <c r="DH50" i="16"/>
  <c r="DL50" i="16" s="1"/>
  <c r="DH51" i="16"/>
  <c r="DL51" i="16" s="1"/>
  <c r="DH48" i="16"/>
  <c r="DL48" i="16" s="1"/>
  <c r="DH59" i="16"/>
  <c r="DL59" i="16" s="1"/>
  <c r="DH12" i="16"/>
  <c r="DL12" i="16" s="1"/>
  <c r="DH34" i="16"/>
  <c r="DL34" i="16" s="1"/>
  <c r="DH55" i="16"/>
  <c r="DL55" i="16" s="1"/>
  <c r="DH56" i="16"/>
  <c r="DL56" i="16" s="1"/>
  <c r="DH20" i="16"/>
  <c r="DL20" i="16" s="1"/>
  <c r="DH22" i="16"/>
  <c r="DL22" i="16" s="1"/>
  <c r="DH47" i="16"/>
  <c r="DL47" i="16" s="1"/>
  <c r="CN5" i="16"/>
  <c r="CO5" i="16"/>
  <c r="CP5" i="16"/>
  <c r="CQ5" i="16"/>
  <c r="CR5" i="16"/>
  <c r="CS5" i="16"/>
  <c r="CT5" i="16"/>
  <c r="CN6" i="16"/>
  <c r="CO6" i="16"/>
  <c r="CP6" i="16"/>
  <c r="CQ6" i="16"/>
  <c r="CR6" i="16"/>
  <c r="CS6" i="16"/>
  <c r="CT6" i="16"/>
  <c r="CN7" i="16"/>
  <c r="CO7" i="16"/>
  <c r="CP7" i="16"/>
  <c r="CQ7" i="16"/>
  <c r="CR7" i="16"/>
  <c r="CS7" i="16"/>
  <c r="CT7" i="16"/>
  <c r="CN8" i="16"/>
  <c r="CO8" i="16"/>
  <c r="CP8" i="16"/>
  <c r="CQ8" i="16"/>
  <c r="CR8" i="16"/>
  <c r="CS8" i="16"/>
  <c r="CT8" i="16"/>
  <c r="CN9" i="16"/>
  <c r="CO9" i="16"/>
  <c r="CP9" i="16"/>
  <c r="CQ9" i="16"/>
  <c r="CR9" i="16"/>
  <c r="CS9" i="16"/>
  <c r="CT9" i="16"/>
  <c r="CN10" i="16"/>
  <c r="CO10" i="16"/>
  <c r="CP10" i="16"/>
  <c r="CQ10" i="16"/>
  <c r="CR10" i="16"/>
  <c r="CS10" i="16"/>
  <c r="CT10" i="16"/>
  <c r="CN11" i="16"/>
  <c r="CO11" i="16"/>
  <c r="CP11" i="16"/>
  <c r="CQ11" i="16"/>
  <c r="CR11" i="16"/>
  <c r="CS11" i="16"/>
  <c r="CT11" i="16"/>
  <c r="CN12" i="16"/>
  <c r="CO12" i="16"/>
  <c r="CP12" i="16"/>
  <c r="CQ12" i="16"/>
  <c r="CR12" i="16"/>
  <c r="CS12" i="16"/>
  <c r="CT12" i="16"/>
  <c r="CN13" i="16"/>
  <c r="CO13" i="16"/>
  <c r="CP13" i="16"/>
  <c r="CQ13" i="16"/>
  <c r="CR13" i="16"/>
  <c r="CS13" i="16"/>
  <c r="CT13" i="16"/>
  <c r="CN14" i="16"/>
  <c r="CO14" i="16"/>
  <c r="CP14" i="16"/>
  <c r="CQ14" i="16"/>
  <c r="CR14" i="16"/>
  <c r="CS14" i="16"/>
  <c r="CT14" i="16"/>
  <c r="CN15" i="16"/>
  <c r="CO15" i="16"/>
  <c r="CP15" i="16"/>
  <c r="CQ15" i="16"/>
  <c r="CR15" i="16"/>
  <c r="CS15" i="16"/>
  <c r="CT15" i="16"/>
  <c r="CN16" i="16"/>
  <c r="CO16" i="16"/>
  <c r="CP16" i="16"/>
  <c r="CQ16" i="16"/>
  <c r="CR16" i="16"/>
  <c r="CS16" i="16"/>
  <c r="CT16" i="16"/>
  <c r="CN17" i="16"/>
  <c r="CO17" i="16"/>
  <c r="CP17" i="16"/>
  <c r="CQ17" i="16"/>
  <c r="CR17" i="16"/>
  <c r="CS17" i="16"/>
  <c r="CT17" i="16"/>
  <c r="CN18" i="16"/>
  <c r="CO18" i="16"/>
  <c r="CP18" i="16"/>
  <c r="CQ18" i="16"/>
  <c r="CR18" i="16"/>
  <c r="CS18" i="16"/>
  <c r="CT18" i="16"/>
  <c r="CN19" i="16"/>
  <c r="CO19" i="16"/>
  <c r="CP19" i="16"/>
  <c r="CQ19" i="16"/>
  <c r="CR19" i="16"/>
  <c r="CS19" i="16"/>
  <c r="CT19" i="16"/>
  <c r="CN20" i="16"/>
  <c r="CO20" i="16"/>
  <c r="CP20" i="16"/>
  <c r="CQ20" i="16"/>
  <c r="CR20" i="16"/>
  <c r="CS20" i="16"/>
  <c r="CT20" i="16"/>
  <c r="CN21" i="16"/>
  <c r="CO21" i="16"/>
  <c r="CP21" i="16"/>
  <c r="CQ21" i="16"/>
  <c r="CR21" i="16"/>
  <c r="CS21" i="16"/>
  <c r="CT21" i="16"/>
  <c r="CN22" i="16"/>
  <c r="CO22" i="16"/>
  <c r="CP22" i="16"/>
  <c r="CQ22" i="16"/>
  <c r="CR22" i="16"/>
  <c r="CS22" i="16"/>
  <c r="CT22" i="16"/>
  <c r="CN23" i="16"/>
  <c r="CO23" i="16"/>
  <c r="CP23" i="16"/>
  <c r="CQ23" i="16"/>
  <c r="CR23" i="16"/>
  <c r="CS23" i="16"/>
  <c r="CT23" i="16"/>
  <c r="CN24" i="16"/>
  <c r="CO24" i="16"/>
  <c r="CP24" i="16"/>
  <c r="CQ24" i="16"/>
  <c r="CR24" i="16"/>
  <c r="CS24" i="16"/>
  <c r="CT24" i="16"/>
  <c r="CN25" i="16"/>
  <c r="CO25" i="16"/>
  <c r="CP25" i="16"/>
  <c r="CQ25" i="16"/>
  <c r="CR25" i="16"/>
  <c r="CS25" i="16"/>
  <c r="CT25" i="16"/>
  <c r="CN26" i="16"/>
  <c r="CO26" i="16"/>
  <c r="CP26" i="16"/>
  <c r="CQ26" i="16"/>
  <c r="CR26" i="16"/>
  <c r="CS26" i="16"/>
  <c r="CT26" i="16"/>
  <c r="CN27" i="16"/>
  <c r="CO27" i="16"/>
  <c r="CP27" i="16"/>
  <c r="CQ27" i="16"/>
  <c r="CR27" i="16"/>
  <c r="CS27" i="16"/>
  <c r="CT27" i="16"/>
  <c r="CN28" i="16"/>
  <c r="CO28" i="16"/>
  <c r="CP28" i="16"/>
  <c r="CQ28" i="16"/>
  <c r="CR28" i="16"/>
  <c r="CS28" i="16"/>
  <c r="CT28" i="16"/>
  <c r="CN29" i="16"/>
  <c r="CO29" i="16"/>
  <c r="CP29" i="16"/>
  <c r="CQ29" i="16"/>
  <c r="CR29" i="16"/>
  <c r="CS29" i="16"/>
  <c r="CT29" i="16"/>
  <c r="CN30" i="16"/>
  <c r="CO30" i="16"/>
  <c r="CP30" i="16"/>
  <c r="CQ30" i="16"/>
  <c r="CR30" i="16"/>
  <c r="CS30" i="16"/>
  <c r="CT30" i="16"/>
  <c r="CN31" i="16"/>
  <c r="CO31" i="16"/>
  <c r="CP31" i="16"/>
  <c r="CQ31" i="16"/>
  <c r="CR31" i="16"/>
  <c r="CS31" i="16"/>
  <c r="CT31" i="16"/>
  <c r="CN32" i="16"/>
  <c r="CO32" i="16"/>
  <c r="CP32" i="16"/>
  <c r="CQ32" i="16"/>
  <c r="CR32" i="16"/>
  <c r="CS32" i="16"/>
  <c r="CT32" i="16"/>
  <c r="CN33" i="16"/>
  <c r="CO33" i="16"/>
  <c r="CP33" i="16"/>
  <c r="CQ33" i="16"/>
  <c r="CR33" i="16"/>
  <c r="CS33" i="16"/>
  <c r="CT33" i="16"/>
  <c r="CN34" i="16"/>
  <c r="CO34" i="16"/>
  <c r="CP34" i="16"/>
  <c r="CQ34" i="16"/>
  <c r="CR34" i="16"/>
  <c r="CS34" i="16"/>
  <c r="CT34" i="16"/>
  <c r="CN35" i="16"/>
  <c r="CO35" i="16"/>
  <c r="CP35" i="16"/>
  <c r="CQ35" i="16"/>
  <c r="CR35" i="16"/>
  <c r="CS35" i="16"/>
  <c r="CT35" i="16"/>
  <c r="CN36" i="16"/>
  <c r="CO36" i="16"/>
  <c r="CP36" i="16"/>
  <c r="CQ36" i="16"/>
  <c r="CR36" i="16"/>
  <c r="CS36" i="16"/>
  <c r="CT36" i="16"/>
  <c r="CN37" i="16"/>
  <c r="CO37" i="16"/>
  <c r="CP37" i="16"/>
  <c r="CQ37" i="16"/>
  <c r="CR37" i="16"/>
  <c r="CS37" i="16"/>
  <c r="CT37" i="16"/>
  <c r="CN38" i="16"/>
  <c r="CO38" i="16"/>
  <c r="CP38" i="16"/>
  <c r="CQ38" i="16"/>
  <c r="CR38" i="16"/>
  <c r="CS38" i="16"/>
  <c r="CT38" i="16"/>
  <c r="CN39" i="16"/>
  <c r="CO39" i="16"/>
  <c r="CP39" i="16"/>
  <c r="CQ39" i="16"/>
  <c r="CR39" i="16"/>
  <c r="CS39" i="16"/>
  <c r="CT39" i="16"/>
  <c r="CN40" i="16"/>
  <c r="CO40" i="16"/>
  <c r="CP40" i="16"/>
  <c r="CQ40" i="16"/>
  <c r="CR40" i="16"/>
  <c r="CS40" i="16"/>
  <c r="CT40" i="16"/>
  <c r="CN41" i="16"/>
  <c r="CO41" i="16"/>
  <c r="CP41" i="16"/>
  <c r="CQ41" i="16"/>
  <c r="CR41" i="16"/>
  <c r="CS41" i="16"/>
  <c r="CT41" i="16"/>
  <c r="CN42" i="16"/>
  <c r="CO42" i="16"/>
  <c r="CP42" i="16"/>
  <c r="CQ42" i="16"/>
  <c r="CR42" i="16"/>
  <c r="CS42" i="16"/>
  <c r="CT42" i="16"/>
  <c r="CN43" i="16"/>
  <c r="CO43" i="16"/>
  <c r="CP43" i="16"/>
  <c r="CQ43" i="16"/>
  <c r="CR43" i="16"/>
  <c r="CS43" i="16"/>
  <c r="CT43" i="16"/>
  <c r="CN44" i="16"/>
  <c r="CO44" i="16"/>
  <c r="CP44" i="16"/>
  <c r="CQ44" i="16"/>
  <c r="CR44" i="16"/>
  <c r="CS44" i="16"/>
  <c r="CT44" i="16"/>
  <c r="CN45" i="16"/>
  <c r="CO45" i="16"/>
  <c r="CP45" i="16"/>
  <c r="CQ45" i="16"/>
  <c r="CR45" i="16"/>
  <c r="CS45" i="16"/>
  <c r="CT45" i="16"/>
  <c r="CN46" i="16"/>
  <c r="CO46" i="16"/>
  <c r="CP46" i="16"/>
  <c r="CQ46" i="16"/>
  <c r="CR46" i="16"/>
  <c r="CS46" i="16"/>
  <c r="CT46" i="16"/>
  <c r="CN47" i="16"/>
  <c r="CO47" i="16"/>
  <c r="CP47" i="16"/>
  <c r="CQ47" i="16"/>
  <c r="CR47" i="16"/>
  <c r="CS47" i="16"/>
  <c r="CT47" i="16"/>
  <c r="CN48" i="16"/>
  <c r="CO48" i="16"/>
  <c r="CP48" i="16"/>
  <c r="CQ48" i="16"/>
  <c r="CR48" i="16"/>
  <c r="CS48" i="16"/>
  <c r="CT48" i="16"/>
  <c r="CN49" i="16"/>
  <c r="CO49" i="16"/>
  <c r="CP49" i="16"/>
  <c r="CQ49" i="16"/>
  <c r="CR49" i="16"/>
  <c r="CS49" i="16"/>
  <c r="CT49" i="16"/>
  <c r="CN50" i="16"/>
  <c r="CO50" i="16"/>
  <c r="CP50" i="16"/>
  <c r="CQ50" i="16"/>
  <c r="CR50" i="16"/>
  <c r="CS50" i="16"/>
  <c r="CT50" i="16"/>
  <c r="CN51" i="16"/>
  <c r="CO51" i="16"/>
  <c r="CP51" i="16"/>
  <c r="CQ51" i="16"/>
  <c r="CR51" i="16"/>
  <c r="CS51" i="16"/>
  <c r="CT51" i="16"/>
  <c r="CN52" i="16"/>
  <c r="CO52" i="16"/>
  <c r="CP52" i="16"/>
  <c r="CQ52" i="16"/>
  <c r="CR52" i="16"/>
  <c r="CS52" i="16"/>
  <c r="CT52" i="16"/>
  <c r="CN53" i="16"/>
  <c r="CO53" i="16"/>
  <c r="CP53" i="16"/>
  <c r="CQ53" i="16"/>
  <c r="CR53" i="16"/>
  <c r="CS53" i="16"/>
  <c r="CT53" i="16"/>
  <c r="CN54" i="16"/>
  <c r="CO54" i="16"/>
  <c r="CP54" i="16"/>
  <c r="CQ54" i="16"/>
  <c r="CR54" i="16"/>
  <c r="CS54" i="16"/>
  <c r="CT54" i="16"/>
  <c r="CT4" i="16"/>
  <c r="CS4" i="16"/>
  <c r="CR4" i="16"/>
  <c r="CQ4" i="16"/>
  <c r="CP4" i="16"/>
  <c r="CO4" i="16"/>
  <c r="CN4" i="16"/>
  <c r="CB5" i="16"/>
  <c r="CC5" i="16"/>
  <c r="CD5" i="16"/>
  <c r="CE5" i="16"/>
  <c r="CF5" i="16"/>
  <c r="CG5" i="16"/>
  <c r="CH5" i="16"/>
  <c r="CB6" i="16"/>
  <c r="CC6" i="16"/>
  <c r="CD6" i="16"/>
  <c r="CE6" i="16"/>
  <c r="CF6" i="16"/>
  <c r="CG6" i="16"/>
  <c r="CH6" i="16"/>
  <c r="CB7" i="16"/>
  <c r="CC7" i="16"/>
  <c r="CD7" i="16"/>
  <c r="CE7" i="16"/>
  <c r="CF7" i="16"/>
  <c r="CG7" i="16"/>
  <c r="CH7" i="16"/>
  <c r="CB8" i="16"/>
  <c r="CC8" i="16"/>
  <c r="CD8" i="16"/>
  <c r="CE8" i="16"/>
  <c r="CF8" i="16"/>
  <c r="CG8" i="16"/>
  <c r="CH8" i="16"/>
  <c r="CB9" i="16"/>
  <c r="CC9" i="16"/>
  <c r="CD9" i="16"/>
  <c r="CE9" i="16"/>
  <c r="CF9" i="16"/>
  <c r="CG9" i="16"/>
  <c r="CH9" i="16"/>
  <c r="CB10" i="16"/>
  <c r="CC10" i="16"/>
  <c r="CD10" i="16"/>
  <c r="CE10" i="16"/>
  <c r="CF10" i="16"/>
  <c r="CG10" i="16"/>
  <c r="CH10" i="16"/>
  <c r="CB11" i="16"/>
  <c r="CC11" i="16"/>
  <c r="CD11" i="16"/>
  <c r="CE11" i="16"/>
  <c r="CF11" i="16"/>
  <c r="CG11" i="16"/>
  <c r="CH11" i="16"/>
  <c r="CB12" i="16"/>
  <c r="CC12" i="16"/>
  <c r="CD12" i="16"/>
  <c r="CE12" i="16"/>
  <c r="CF12" i="16"/>
  <c r="CG12" i="16"/>
  <c r="CH12" i="16"/>
  <c r="CB13" i="16"/>
  <c r="CC13" i="16"/>
  <c r="CD13" i="16"/>
  <c r="CE13" i="16"/>
  <c r="CF13" i="16"/>
  <c r="CG13" i="16"/>
  <c r="CH13" i="16"/>
  <c r="CB14" i="16"/>
  <c r="CC14" i="16"/>
  <c r="CD14" i="16"/>
  <c r="CE14" i="16"/>
  <c r="CF14" i="16"/>
  <c r="CG14" i="16"/>
  <c r="CH14" i="16"/>
  <c r="CB15" i="16"/>
  <c r="CC15" i="16"/>
  <c r="CD15" i="16"/>
  <c r="CE15" i="16"/>
  <c r="CF15" i="16"/>
  <c r="CG15" i="16"/>
  <c r="CH15" i="16"/>
  <c r="CB16" i="16"/>
  <c r="CC16" i="16"/>
  <c r="CD16" i="16"/>
  <c r="CE16" i="16"/>
  <c r="CF16" i="16"/>
  <c r="CG16" i="16"/>
  <c r="CH16" i="16"/>
  <c r="CB17" i="16"/>
  <c r="CC17" i="16"/>
  <c r="CD17" i="16"/>
  <c r="CE17" i="16"/>
  <c r="CF17" i="16"/>
  <c r="CG17" i="16"/>
  <c r="CH17" i="16"/>
  <c r="CB18" i="16"/>
  <c r="CC18" i="16"/>
  <c r="CD18" i="16"/>
  <c r="CE18" i="16"/>
  <c r="CF18" i="16"/>
  <c r="CG18" i="16"/>
  <c r="CH18" i="16"/>
  <c r="CB19" i="16"/>
  <c r="CC19" i="16"/>
  <c r="CD19" i="16"/>
  <c r="CE19" i="16"/>
  <c r="CF19" i="16"/>
  <c r="CG19" i="16"/>
  <c r="CH19" i="16"/>
  <c r="CB20" i="16"/>
  <c r="CC20" i="16"/>
  <c r="CD20" i="16"/>
  <c r="CE20" i="16"/>
  <c r="CF20" i="16"/>
  <c r="CG20" i="16"/>
  <c r="CH20" i="16"/>
  <c r="CB21" i="16"/>
  <c r="CC21" i="16"/>
  <c r="CD21" i="16"/>
  <c r="CE21" i="16"/>
  <c r="CF21" i="16"/>
  <c r="CG21" i="16"/>
  <c r="CH21" i="16"/>
  <c r="CB22" i="16"/>
  <c r="CC22" i="16"/>
  <c r="CD22" i="16"/>
  <c r="CE22" i="16"/>
  <c r="CF22" i="16"/>
  <c r="CG22" i="16"/>
  <c r="CH22" i="16"/>
  <c r="CB23" i="16"/>
  <c r="CC23" i="16"/>
  <c r="CD23" i="16"/>
  <c r="CE23" i="16"/>
  <c r="CF23" i="16"/>
  <c r="CG23" i="16"/>
  <c r="CH23" i="16"/>
  <c r="CB24" i="16"/>
  <c r="CC24" i="16"/>
  <c r="CD24" i="16"/>
  <c r="CE24" i="16"/>
  <c r="CF24" i="16"/>
  <c r="CG24" i="16"/>
  <c r="CH24" i="16"/>
  <c r="CB25" i="16"/>
  <c r="CC25" i="16"/>
  <c r="CD25" i="16"/>
  <c r="CE25" i="16"/>
  <c r="CF25" i="16"/>
  <c r="CG25" i="16"/>
  <c r="CH25" i="16"/>
  <c r="CB26" i="16"/>
  <c r="CC26" i="16"/>
  <c r="CD26" i="16"/>
  <c r="CE26" i="16"/>
  <c r="CF26" i="16"/>
  <c r="CG26" i="16"/>
  <c r="CH26" i="16"/>
  <c r="CB27" i="16"/>
  <c r="CC27" i="16"/>
  <c r="CD27" i="16"/>
  <c r="CE27" i="16"/>
  <c r="CF27" i="16"/>
  <c r="CG27" i="16"/>
  <c r="CH27" i="16"/>
  <c r="CB28" i="16"/>
  <c r="CC28" i="16"/>
  <c r="CD28" i="16"/>
  <c r="CE28" i="16"/>
  <c r="CF28" i="16"/>
  <c r="CG28" i="16"/>
  <c r="CH28" i="16"/>
  <c r="CB29" i="16"/>
  <c r="CC29" i="16"/>
  <c r="CD29" i="16"/>
  <c r="CE29" i="16"/>
  <c r="CF29" i="16"/>
  <c r="CG29" i="16"/>
  <c r="CH29" i="16"/>
  <c r="CB30" i="16"/>
  <c r="CC30" i="16"/>
  <c r="CD30" i="16"/>
  <c r="CE30" i="16"/>
  <c r="CF30" i="16"/>
  <c r="CG30" i="16"/>
  <c r="CH30" i="16"/>
  <c r="CB31" i="16"/>
  <c r="CC31" i="16"/>
  <c r="CD31" i="16"/>
  <c r="CE31" i="16"/>
  <c r="CF31" i="16"/>
  <c r="CG31" i="16"/>
  <c r="CH31" i="16"/>
  <c r="CB32" i="16"/>
  <c r="CC32" i="16"/>
  <c r="CD32" i="16"/>
  <c r="CE32" i="16"/>
  <c r="CF32" i="16"/>
  <c r="CG32" i="16"/>
  <c r="CH32" i="16"/>
  <c r="CB33" i="16"/>
  <c r="CC33" i="16"/>
  <c r="CD33" i="16"/>
  <c r="CE33" i="16"/>
  <c r="CF33" i="16"/>
  <c r="CG33" i="16"/>
  <c r="CH33" i="16"/>
  <c r="CB34" i="16"/>
  <c r="CC34" i="16"/>
  <c r="CD34" i="16"/>
  <c r="CE34" i="16"/>
  <c r="CF34" i="16"/>
  <c r="CG34" i="16"/>
  <c r="CH34" i="16"/>
  <c r="CB35" i="16"/>
  <c r="CC35" i="16"/>
  <c r="CD35" i="16"/>
  <c r="CE35" i="16"/>
  <c r="CF35" i="16"/>
  <c r="CG35" i="16"/>
  <c r="CH35" i="16"/>
  <c r="CB36" i="16"/>
  <c r="CC36" i="16"/>
  <c r="CD36" i="16"/>
  <c r="CE36" i="16"/>
  <c r="CF36" i="16"/>
  <c r="CG36" i="16"/>
  <c r="CH36" i="16"/>
  <c r="CB37" i="16"/>
  <c r="CC37" i="16"/>
  <c r="CD37" i="16"/>
  <c r="CE37" i="16"/>
  <c r="CF37" i="16"/>
  <c r="CG37" i="16"/>
  <c r="CH37" i="16"/>
  <c r="CB38" i="16"/>
  <c r="CC38" i="16"/>
  <c r="CD38" i="16"/>
  <c r="CE38" i="16"/>
  <c r="CF38" i="16"/>
  <c r="CG38" i="16"/>
  <c r="CH38" i="16"/>
  <c r="CB39" i="16"/>
  <c r="CC39" i="16"/>
  <c r="CD39" i="16"/>
  <c r="CE39" i="16"/>
  <c r="CF39" i="16"/>
  <c r="CG39" i="16"/>
  <c r="CH39" i="16"/>
  <c r="CB40" i="16"/>
  <c r="CC40" i="16"/>
  <c r="CD40" i="16"/>
  <c r="CE40" i="16"/>
  <c r="CF40" i="16"/>
  <c r="CG40" i="16"/>
  <c r="CH40" i="16"/>
  <c r="CB41" i="16"/>
  <c r="CC41" i="16"/>
  <c r="CD41" i="16"/>
  <c r="CE41" i="16"/>
  <c r="CF41" i="16"/>
  <c r="CG41" i="16"/>
  <c r="CH41" i="16"/>
  <c r="CB42" i="16"/>
  <c r="CC42" i="16"/>
  <c r="CD42" i="16"/>
  <c r="CE42" i="16"/>
  <c r="CF42" i="16"/>
  <c r="CG42" i="16"/>
  <c r="CH42" i="16"/>
  <c r="CB43" i="16"/>
  <c r="CC43" i="16"/>
  <c r="CD43" i="16"/>
  <c r="CE43" i="16"/>
  <c r="CF43" i="16"/>
  <c r="CG43" i="16"/>
  <c r="CH43" i="16"/>
  <c r="CB44" i="16"/>
  <c r="CC44" i="16"/>
  <c r="CD44" i="16"/>
  <c r="CE44" i="16"/>
  <c r="CF44" i="16"/>
  <c r="CG44" i="16"/>
  <c r="CH44" i="16"/>
  <c r="CB45" i="16"/>
  <c r="CC45" i="16"/>
  <c r="CD45" i="16"/>
  <c r="CE45" i="16"/>
  <c r="CF45" i="16"/>
  <c r="CG45" i="16"/>
  <c r="CH45" i="16"/>
  <c r="CB46" i="16"/>
  <c r="CC46" i="16"/>
  <c r="CD46" i="16"/>
  <c r="CE46" i="16"/>
  <c r="CF46" i="16"/>
  <c r="CG46" i="16"/>
  <c r="CH46" i="16"/>
  <c r="CB47" i="16"/>
  <c r="CC47" i="16"/>
  <c r="CD47" i="16"/>
  <c r="CE47" i="16"/>
  <c r="CF47" i="16"/>
  <c r="CG47" i="16"/>
  <c r="CH47" i="16"/>
  <c r="CB48" i="16"/>
  <c r="CC48" i="16"/>
  <c r="CD48" i="16"/>
  <c r="CE48" i="16"/>
  <c r="CF48" i="16"/>
  <c r="CG48" i="16"/>
  <c r="CH48" i="16"/>
  <c r="CB49" i="16"/>
  <c r="CC49" i="16"/>
  <c r="CD49" i="16"/>
  <c r="CE49" i="16"/>
  <c r="CF49" i="16"/>
  <c r="CG49" i="16"/>
  <c r="CH49" i="16"/>
  <c r="CB50" i="16"/>
  <c r="CC50" i="16"/>
  <c r="CD50" i="16"/>
  <c r="CE50" i="16"/>
  <c r="CF50" i="16"/>
  <c r="CG50" i="16"/>
  <c r="CH50" i="16"/>
  <c r="CB51" i="16"/>
  <c r="CC51" i="16"/>
  <c r="CD51" i="16"/>
  <c r="CE51" i="16"/>
  <c r="CF51" i="16"/>
  <c r="CG51" i="16"/>
  <c r="CH51" i="16"/>
  <c r="CB52" i="16"/>
  <c r="CC52" i="16"/>
  <c r="CD52" i="16"/>
  <c r="CE52" i="16"/>
  <c r="CF52" i="16"/>
  <c r="CG52" i="16"/>
  <c r="CH52" i="16"/>
  <c r="CB53" i="16"/>
  <c r="CC53" i="16"/>
  <c r="CD53" i="16"/>
  <c r="CE53" i="16"/>
  <c r="CF53" i="16"/>
  <c r="CG53" i="16"/>
  <c r="CH53" i="16"/>
  <c r="CB54" i="16"/>
  <c r="CC54" i="16"/>
  <c r="CD54" i="16"/>
  <c r="CE54" i="16"/>
  <c r="CF54" i="16"/>
  <c r="CG54" i="16"/>
  <c r="CH54" i="16"/>
  <c r="CH4" i="16"/>
  <c r="CG4" i="16"/>
  <c r="CF4" i="16"/>
  <c r="CE4" i="16"/>
  <c r="CD4" i="16"/>
  <c r="CC4" i="16"/>
  <c r="CB4" i="16"/>
  <c r="B99" i="16"/>
  <c r="B79" i="23"/>
  <c r="W11" i="13"/>
  <c r="W15" i="13"/>
  <c r="W10" i="13"/>
  <c r="W9" i="13"/>
  <c r="W8" i="13"/>
  <c r="V10" i="13"/>
  <c r="V9" i="13"/>
  <c r="V8" i="13"/>
  <c r="AU12" i="13"/>
  <c r="BB12" i="13"/>
  <c r="BC12" i="13"/>
  <c r="AU13" i="13"/>
  <c r="BB13" i="13"/>
  <c r="BC13" i="13"/>
  <c r="AU14" i="13"/>
  <c r="BB14" i="13"/>
  <c r="BC14" i="13"/>
  <c r="BB15" i="13"/>
  <c r="BC15" i="13"/>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P4" i="9"/>
  <c r="CN4" i="9"/>
  <c r="CL4" i="9"/>
  <c r="CJ4" i="9"/>
  <c r="CH4" i="9"/>
  <c r="CF4" i="9"/>
  <c r="CD4" i="9"/>
  <c r="BR5" i="9"/>
  <c r="BS5" i="9"/>
  <c r="BT5" i="9"/>
  <c r="BU5" i="9"/>
  <c r="BV5" i="9"/>
  <c r="BW5" i="9"/>
  <c r="BX5" i="9"/>
  <c r="BR6" i="9"/>
  <c r="BS6" i="9"/>
  <c r="BT6" i="9"/>
  <c r="BU6" i="9"/>
  <c r="BV6" i="9"/>
  <c r="BW6" i="9"/>
  <c r="BX6" i="9"/>
  <c r="BR7" i="9"/>
  <c r="BS7" i="9"/>
  <c r="BT7" i="9"/>
  <c r="BU7" i="9"/>
  <c r="BV7" i="9"/>
  <c r="BW7" i="9"/>
  <c r="BX7" i="9"/>
  <c r="BR8" i="9"/>
  <c r="BS8" i="9"/>
  <c r="BT8" i="9"/>
  <c r="BU8" i="9"/>
  <c r="BV8" i="9"/>
  <c r="BW8" i="9"/>
  <c r="BX8" i="9"/>
  <c r="BR9" i="9"/>
  <c r="BS9" i="9"/>
  <c r="BT9" i="9"/>
  <c r="BU9" i="9"/>
  <c r="BV9" i="9"/>
  <c r="BW9" i="9"/>
  <c r="BX9" i="9"/>
  <c r="BR10" i="9"/>
  <c r="BS10" i="9"/>
  <c r="BT10" i="9"/>
  <c r="BU10" i="9"/>
  <c r="BV10" i="9"/>
  <c r="BW10" i="9"/>
  <c r="BX10" i="9"/>
  <c r="BR11" i="9"/>
  <c r="BS11" i="9"/>
  <c r="BT11" i="9"/>
  <c r="BU11" i="9"/>
  <c r="BV11" i="9"/>
  <c r="BW11" i="9"/>
  <c r="BX11" i="9"/>
  <c r="BR12" i="9"/>
  <c r="BS12" i="9"/>
  <c r="BT12" i="9"/>
  <c r="BU12" i="9"/>
  <c r="BV12" i="9"/>
  <c r="BW12" i="9"/>
  <c r="BX12" i="9"/>
  <c r="BR13" i="9"/>
  <c r="BS13" i="9"/>
  <c r="BT13" i="9"/>
  <c r="BU13" i="9"/>
  <c r="BV13" i="9"/>
  <c r="BW13" i="9"/>
  <c r="BX13" i="9"/>
  <c r="BR14" i="9"/>
  <c r="BS14" i="9"/>
  <c r="BT14" i="9"/>
  <c r="BU14" i="9"/>
  <c r="BV14" i="9"/>
  <c r="BW14" i="9"/>
  <c r="BX14" i="9"/>
  <c r="BR15" i="9"/>
  <c r="BS15" i="9"/>
  <c r="BT15" i="9"/>
  <c r="BU15" i="9"/>
  <c r="BV15" i="9"/>
  <c r="BW15" i="9"/>
  <c r="BX15" i="9"/>
  <c r="BR16" i="9"/>
  <c r="BS16" i="9"/>
  <c r="BT16" i="9"/>
  <c r="BU16" i="9"/>
  <c r="BV16" i="9"/>
  <c r="BW16" i="9"/>
  <c r="BX16" i="9"/>
  <c r="BR17" i="9"/>
  <c r="BS17" i="9"/>
  <c r="BT17" i="9"/>
  <c r="BU17" i="9"/>
  <c r="BV17" i="9"/>
  <c r="BW17" i="9"/>
  <c r="BX17" i="9"/>
  <c r="BR18" i="9"/>
  <c r="BS18" i="9"/>
  <c r="BT18" i="9"/>
  <c r="BU18" i="9"/>
  <c r="BV18" i="9"/>
  <c r="BW18" i="9"/>
  <c r="BX18" i="9"/>
  <c r="BR19" i="9"/>
  <c r="BS19" i="9"/>
  <c r="BT19" i="9"/>
  <c r="BU19" i="9"/>
  <c r="BV19" i="9"/>
  <c r="BW19" i="9"/>
  <c r="BX19" i="9"/>
  <c r="BR20" i="9"/>
  <c r="BS20" i="9"/>
  <c r="BT20" i="9"/>
  <c r="BU20" i="9"/>
  <c r="BV20" i="9"/>
  <c r="BW20" i="9"/>
  <c r="BX20" i="9"/>
  <c r="BR21" i="9"/>
  <c r="BS21" i="9"/>
  <c r="BT21" i="9"/>
  <c r="BU21" i="9"/>
  <c r="BV21" i="9"/>
  <c r="BW21" i="9"/>
  <c r="BX21" i="9"/>
  <c r="BR22" i="9"/>
  <c r="BS22" i="9"/>
  <c r="BT22" i="9"/>
  <c r="BU22" i="9"/>
  <c r="BV22" i="9"/>
  <c r="BW22" i="9"/>
  <c r="BX22" i="9"/>
  <c r="BR23" i="9"/>
  <c r="BS23" i="9"/>
  <c r="BT23" i="9"/>
  <c r="BU23" i="9"/>
  <c r="BV23" i="9"/>
  <c r="BW23" i="9"/>
  <c r="BX23" i="9"/>
  <c r="BR24" i="9"/>
  <c r="BS24" i="9"/>
  <c r="BT24" i="9"/>
  <c r="BU24" i="9"/>
  <c r="BV24" i="9"/>
  <c r="BW24" i="9"/>
  <c r="BX24" i="9"/>
  <c r="BR25" i="9"/>
  <c r="BS25" i="9"/>
  <c r="BT25" i="9"/>
  <c r="BU25" i="9"/>
  <c r="BV25" i="9"/>
  <c r="BW25" i="9"/>
  <c r="BX25" i="9"/>
  <c r="BR26" i="9"/>
  <c r="BS26" i="9"/>
  <c r="BT26" i="9"/>
  <c r="BU26" i="9"/>
  <c r="BV26" i="9"/>
  <c r="BW26" i="9"/>
  <c r="BX26" i="9"/>
  <c r="BR27" i="9"/>
  <c r="BS27" i="9"/>
  <c r="BT27" i="9"/>
  <c r="BU27" i="9"/>
  <c r="BV27" i="9"/>
  <c r="BW27" i="9"/>
  <c r="BX27" i="9"/>
  <c r="BR28" i="9"/>
  <c r="BS28" i="9"/>
  <c r="BT28" i="9"/>
  <c r="BU28" i="9"/>
  <c r="BV28" i="9"/>
  <c r="BW28" i="9"/>
  <c r="BX28" i="9"/>
  <c r="BR29" i="9"/>
  <c r="BS29" i="9"/>
  <c r="BT29" i="9"/>
  <c r="BU29" i="9"/>
  <c r="BV29" i="9"/>
  <c r="BW29" i="9"/>
  <c r="BX29" i="9"/>
  <c r="BR30" i="9"/>
  <c r="BS30" i="9"/>
  <c r="BT30" i="9"/>
  <c r="BU30" i="9"/>
  <c r="BV30" i="9"/>
  <c r="BW30" i="9"/>
  <c r="BX30" i="9"/>
  <c r="BR31" i="9"/>
  <c r="BS31" i="9"/>
  <c r="BT31" i="9"/>
  <c r="BU31" i="9"/>
  <c r="BV31" i="9"/>
  <c r="BW31" i="9"/>
  <c r="BX31" i="9"/>
  <c r="BR32" i="9"/>
  <c r="BS32" i="9"/>
  <c r="BT32" i="9"/>
  <c r="BU32" i="9"/>
  <c r="BV32" i="9"/>
  <c r="BW32" i="9"/>
  <c r="BX32" i="9"/>
  <c r="BR33" i="9"/>
  <c r="BS33" i="9"/>
  <c r="BT33" i="9"/>
  <c r="BU33" i="9"/>
  <c r="BV33" i="9"/>
  <c r="BW33" i="9"/>
  <c r="BX33" i="9"/>
  <c r="BR34" i="9"/>
  <c r="BS34" i="9"/>
  <c r="BT34" i="9"/>
  <c r="BU34" i="9"/>
  <c r="BV34" i="9"/>
  <c r="BW34" i="9"/>
  <c r="BX34" i="9"/>
  <c r="BR35" i="9"/>
  <c r="BS35" i="9"/>
  <c r="BT35" i="9"/>
  <c r="BU35" i="9"/>
  <c r="BV35" i="9"/>
  <c r="BW35" i="9"/>
  <c r="BX35" i="9"/>
  <c r="BR36" i="9"/>
  <c r="BS36" i="9"/>
  <c r="BT36" i="9"/>
  <c r="BU36" i="9"/>
  <c r="BV36" i="9"/>
  <c r="BW36" i="9"/>
  <c r="BX36" i="9"/>
  <c r="BR37" i="9"/>
  <c r="BS37" i="9"/>
  <c r="BT37" i="9"/>
  <c r="BU37" i="9"/>
  <c r="BV37" i="9"/>
  <c r="BW37" i="9"/>
  <c r="BX37" i="9"/>
  <c r="BR38" i="9"/>
  <c r="BS38" i="9"/>
  <c r="BT38" i="9"/>
  <c r="BU38" i="9"/>
  <c r="BV38" i="9"/>
  <c r="BW38" i="9"/>
  <c r="BX38" i="9"/>
  <c r="BR39" i="9"/>
  <c r="BS39" i="9"/>
  <c r="BT39" i="9"/>
  <c r="BU39" i="9"/>
  <c r="BV39" i="9"/>
  <c r="BW39" i="9"/>
  <c r="BX39" i="9"/>
  <c r="BR40" i="9"/>
  <c r="BS40" i="9"/>
  <c r="BT40" i="9"/>
  <c r="BU40" i="9"/>
  <c r="BV40" i="9"/>
  <c r="BW40" i="9"/>
  <c r="BX40" i="9"/>
  <c r="BR41" i="9"/>
  <c r="BS41" i="9"/>
  <c r="BT41" i="9"/>
  <c r="BU41" i="9"/>
  <c r="BV41" i="9"/>
  <c r="BW41" i="9"/>
  <c r="BX41" i="9"/>
  <c r="BR42" i="9"/>
  <c r="BS42" i="9"/>
  <c r="BT42" i="9"/>
  <c r="BU42" i="9"/>
  <c r="BV42" i="9"/>
  <c r="BW42" i="9"/>
  <c r="BX42" i="9"/>
  <c r="BR43" i="9"/>
  <c r="BS43" i="9"/>
  <c r="BT43" i="9"/>
  <c r="BU43" i="9"/>
  <c r="BV43" i="9"/>
  <c r="BW43" i="9"/>
  <c r="BX43" i="9"/>
  <c r="BR44" i="9"/>
  <c r="BS44" i="9"/>
  <c r="BT44" i="9"/>
  <c r="BU44" i="9"/>
  <c r="BV44" i="9"/>
  <c r="BW44" i="9"/>
  <c r="BX44" i="9"/>
  <c r="BR45" i="9"/>
  <c r="BS45" i="9"/>
  <c r="BT45" i="9"/>
  <c r="BU45" i="9"/>
  <c r="BV45" i="9"/>
  <c r="BW45" i="9"/>
  <c r="BX45" i="9"/>
  <c r="BR46" i="9"/>
  <c r="BS46" i="9"/>
  <c r="BT46" i="9"/>
  <c r="BU46" i="9"/>
  <c r="BV46" i="9"/>
  <c r="BW46" i="9"/>
  <c r="BX46" i="9"/>
  <c r="BR47" i="9"/>
  <c r="BS47" i="9"/>
  <c r="BT47" i="9"/>
  <c r="BU47" i="9"/>
  <c r="BV47" i="9"/>
  <c r="BW47" i="9"/>
  <c r="BX47" i="9"/>
  <c r="BR48" i="9"/>
  <c r="BS48" i="9"/>
  <c r="BT48" i="9"/>
  <c r="BU48" i="9"/>
  <c r="BV48" i="9"/>
  <c r="BW48" i="9"/>
  <c r="BX48" i="9"/>
  <c r="BR49" i="9"/>
  <c r="BS49" i="9"/>
  <c r="BT49" i="9"/>
  <c r="BU49" i="9"/>
  <c r="BV49" i="9"/>
  <c r="BW49" i="9"/>
  <c r="BX49" i="9"/>
  <c r="BR50" i="9"/>
  <c r="BS50" i="9"/>
  <c r="BT50" i="9"/>
  <c r="BU50" i="9"/>
  <c r="BV50" i="9"/>
  <c r="BW50" i="9"/>
  <c r="BX50" i="9"/>
  <c r="BR51" i="9"/>
  <c r="BS51" i="9"/>
  <c r="BT51" i="9"/>
  <c r="BU51" i="9"/>
  <c r="BV51" i="9"/>
  <c r="BW51" i="9"/>
  <c r="BX51" i="9"/>
  <c r="BR52" i="9"/>
  <c r="BS52" i="9"/>
  <c r="BT52" i="9"/>
  <c r="BU52" i="9"/>
  <c r="BV52" i="9"/>
  <c r="BW52" i="9"/>
  <c r="BX52" i="9"/>
  <c r="BR53" i="9"/>
  <c r="BS53" i="9"/>
  <c r="BT53" i="9"/>
  <c r="BU53" i="9"/>
  <c r="BV53" i="9"/>
  <c r="BW53" i="9"/>
  <c r="BX53" i="9"/>
  <c r="BR54" i="9"/>
  <c r="BS54" i="9"/>
  <c r="BT54" i="9"/>
  <c r="BU54" i="9"/>
  <c r="BV54" i="9"/>
  <c r="BW54" i="9"/>
  <c r="BX54" i="9"/>
  <c r="BX4" i="9"/>
  <c r="BW4" i="9"/>
  <c r="BV4" i="9"/>
  <c r="BU4" i="9"/>
  <c r="BT4" i="9"/>
  <c r="BS4" i="9"/>
  <c r="BR4" i="9"/>
  <c r="B100" i="9"/>
  <c r="B74" i="9"/>
  <c r="B85" i="9" s="1"/>
  <c r="CL5" i="8"/>
  <c r="CM5" i="8"/>
  <c r="CN5" i="8"/>
  <c r="CO5" i="8"/>
  <c r="CP5" i="8"/>
  <c r="CQ5" i="8"/>
  <c r="CL6" i="8"/>
  <c r="CM6" i="8"/>
  <c r="CN6" i="8"/>
  <c r="CO6" i="8"/>
  <c r="CP6" i="8"/>
  <c r="CQ6" i="8"/>
  <c r="CL7" i="8"/>
  <c r="CM7" i="8"/>
  <c r="CN7" i="8"/>
  <c r="CO7" i="8"/>
  <c r="CP7" i="8"/>
  <c r="CQ7" i="8"/>
  <c r="CL8" i="8"/>
  <c r="CM8" i="8"/>
  <c r="CN8" i="8"/>
  <c r="CO8" i="8"/>
  <c r="CP8" i="8"/>
  <c r="CQ8" i="8"/>
  <c r="CL9" i="8"/>
  <c r="CM9" i="8"/>
  <c r="CN9" i="8"/>
  <c r="CO9" i="8"/>
  <c r="CP9" i="8"/>
  <c r="CQ9" i="8"/>
  <c r="CL10" i="8"/>
  <c r="CM10" i="8"/>
  <c r="CN10" i="8"/>
  <c r="CO10" i="8"/>
  <c r="CP10" i="8"/>
  <c r="CQ10" i="8"/>
  <c r="CL11" i="8"/>
  <c r="CM11" i="8"/>
  <c r="CN11" i="8"/>
  <c r="CO11" i="8"/>
  <c r="CP11" i="8"/>
  <c r="CQ11" i="8"/>
  <c r="CL12" i="8"/>
  <c r="CM12" i="8"/>
  <c r="CN12" i="8"/>
  <c r="CO12" i="8"/>
  <c r="CP12" i="8"/>
  <c r="CQ12" i="8"/>
  <c r="CL13" i="8"/>
  <c r="CM13" i="8"/>
  <c r="CN13" i="8"/>
  <c r="CO13" i="8"/>
  <c r="CP13" i="8"/>
  <c r="CQ13" i="8"/>
  <c r="CL14" i="8"/>
  <c r="CM14" i="8"/>
  <c r="CN14" i="8"/>
  <c r="CO14" i="8"/>
  <c r="CP14" i="8"/>
  <c r="CQ14" i="8"/>
  <c r="CL15" i="8"/>
  <c r="CM15" i="8"/>
  <c r="CN15" i="8"/>
  <c r="CO15" i="8"/>
  <c r="CP15" i="8"/>
  <c r="CQ15" i="8"/>
  <c r="CL16" i="8"/>
  <c r="CM16" i="8"/>
  <c r="CN16" i="8"/>
  <c r="CO16" i="8"/>
  <c r="CP16" i="8"/>
  <c r="CQ16" i="8"/>
  <c r="CL17" i="8"/>
  <c r="CM17" i="8"/>
  <c r="CN17" i="8"/>
  <c r="CO17" i="8"/>
  <c r="CP17" i="8"/>
  <c r="CQ17" i="8"/>
  <c r="CL18" i="8"/>
  <c r="CM18" i="8"/>
  <c r="CN18" i="8"/>
  <c r="CO18" i="8"/>
  <c r="CP18" i="8"/>
  <c r="CQ18" i="8"/>
  <c r="CL19" i="8"/>
  <c r="CM19" i="8"/>
  <c r="CN19" i="8"/>
  <c r="CO19" i="8"/>
  <c r="CP19" i="8"/>
  <c r="CQ19" i="8"/>
  <c r="CL20" i="8"/>
  <c r="CM20" i="8"/>
  <c r="CN20" i="8"/>
  <c r="CO20" i="8"/>
  <c r="CP20" i="8"/>
  <c r="CQ20" i="8"/>
  <c r="CL21" i="8"/>
  <c r="CM21" i="8"/>
  <c r="CN21" i="8"/>
  <c r="CO21" i="8"/>
  <c r="CP21" i="8"/>
  <c r="CQ21" i="8"/>
  <c r="CL22" i="8"/>
  <c r="CM22" i="8"/>
  <c r="CN22" i="8"/>
  <c r="CO22" i="8"/>
  <c r="CP22" i="8"/>
  <c r="CQ22" i="8"/>
  <c r="CL23" i="8"/>
  <c r="CM23" i="8"/>
  <c r="CN23" i="8"/>
  <c r="CO23" i="8"/>
  <c r="CP23" i="8"/>
  <c r="CQ23" i="8"/>
  <c r="CL24" i="8"/>
  <c r="CM24" i="8"/>
  <c r="CN24" i="8"/>
  <c r="CO24" i="8"/>
  <c r="CP24" i="8"/>
  <c r="CQ24" i="8"/>
  <c r="CL25" i="8"/>
  <c r="CM25" i="8"/>
  <c r="CN25" i="8"/>
  <c r="CO25" i="8"/>
  <c r="CP25" i="8"/>
  <c r="CQ25" i="8"/>
  <c r="CL26" i="8"/>
  <c r="CM26" i="8"/>
  <c r="CN26" i="8"/>
  <c r="CO26" i="8"/>
  <c r="CP26" i="8"/>
  <c r="CQ26" i="8"/>
  <c r="CL27" i="8"/>
  <c r="CM27" i="8"/>
  <c r="CN27" i="8"/>
  <c r="CO27" i="8"/>
  <c r="CP27" i="8"/>
  <c r="CQ27" i="8"/>
  <c r="CL28" i="8"/>
  <c r="CM28" i="8"/>
  <c r="CN28" i="8"/>
  <c r="CO28" i="8"/>
  <c r="CP28" i="8"/>
  <c r="CQ28" i="8"/>
  <c r="CL29" i="8"/>
  <c r="CM29" i="8"/>
  <c r="CN29" i="8"/>
  <c r="CO29" i="8"/>
  <c r="CP29" i="8"/>
  <c r="CQ29" i="8"/>
  <c r="CL30" i="8"/>
  <c r="CM30" i="8"/>
  <c r="CN30" i="8"/>
  <c r="CO30" i="8"/>
  <c r="CP30" i="8"/>
  <c r="CQ30" i="8"/>
  <c r="CL31" i="8"/>
  <c r="CM31" i="8"/>
  <c r="CN31" i="8"/>
  <c r="CO31" i="8"/>
  <c r="CP31" i="8"/>
  <c r="CQ31" i="8"/>
  <c r="CL32" i="8"/>
  <c r="CM32" i="8"/>
  <c r="CN32" i="8"/>
  <c r="CO32" i="8"/>
  <c r="CP32" i="8"/>
  <c r="CQ32" i="8"/>
  <c r="CL33" i="8"/>
  <c r="CM33" i="8"/>
  <c r="CN33" i="8"/>
  <c r="CO33" i="8"/>
  <c r="CP33" i="8"/>
  <c r="CQ33" i="8"/>
  <c r="CL34" i="8"/>
  <c r="CM34" i="8"/>
  <c r="CN34" i="8"/>
  <c r="CO34" i="8"/>
  <c r="CP34" i="8"/>
  <c r="CQ34" i="8"/>
  <c r="CL35" i="8"/>
  <c r="CM35" i="8"/>
  <c r="CN35" i="8"/>
  <c r="CO35" i="8"/>
  <c r="CP35" i="8"/>
  <c r="CQ35" i="8"/>
  <c r="CL36" i="8"/>
  <c r="CM36" i="8"/>
  <c r="CN36" i="8"/>
  <c r="CO36" i="8"/>
  <c r="CP36" i="8"/>
  <c r="CQ36" i="8"/>
  <c r="CL37" i="8"/>
  <c r="CM37" i="8"/>
  <c r="CN37" i="8"/>
  <c r="CO37" i="8"/>
  <c r="CP37" i="8"/>
  <c r="CQ37" i="8"/>
  <c r="CL38" i="8"/>
  <c r="CM38" i="8"/>
  <c r="CN38" i="8"/>
  <c r="CO38" i="8"/>
  <c r="CP38" i="8"/>
  <c r="CQ38" i="8"/>
  <c r="CL39" i="8"/>
  <c r="CM39" i="8"/>
  <c r="CN39" i="8"/>
  <c r="CO39" i="8"/>
  <c r="CP39" i="8"/>
  <c r="CQ39" i="8"/>
  <c r="CL40" i="8"/>
  <c r="CM40" i="8"/>
  <c r="CN40" i="8"/>
  <c r="CO40" i="8"/>
  <c r="CP40" i="8"/>
  <c r="CQ40" i="8"/>
  <c r="CL41" i="8"/>
  <c r="CM41" i="8"/>
  <c r="CN41" i="8"/>
  <c r="CO41" i="8"/>
  <c r="CP41" i="8"/>
  <c r="CQ41" i="8"/>
  <c r="CL42" i="8"/>
  <c r="CM42" i="8"/>
  <c r="CN42" i="8"/>
  <c r="CO42" i="8"/>
  <c r="CP42" i="8"/>
  <c r="CQ42" i="8"/>
  <c r="CL43" i="8"/>
  <c r="CM43" i="8"/>
  <c r="CN43" i="8"/>
  <c r="CO43" i="8"/>
  <c r="CP43" i="8"/>
  <c r="CQ43" i="8"/>
  <c r="CL44" i="8"/>
  <c r="CM44" i="8"/>
  <c r="CN44" i="8"/>
  <c r="CO44" i="8"/>
  <c r="CP44" i="8"/>
  <c r="CQ44" i="8"/>
  <c r="CL45" i="8"/>
  <c r="CM45" i="8"/>
  <c r="CN45" i="8"/>
  <c r="CO45" i="8"/>
  <c r="CP45" i="8"/>
  <c r="CQ45" i="8"/>
  <c r="CL46" i="8"/>
  <c r="CM46" i="8"/>
  <c r="CN46" i="8"/>
  <c r="CO46" i="8"/>
  <c r="CP46" i="8"/>
  <c r="CQ46" i="8"/>
  <c r="CL47" i="8"/>
  <c r="CM47" i="8"/>
  <c r="CN47" i="8"/>
  <c r="CO47" i="8"/>
  <c r="CP47" i="8"/>
  <c r="CQ47" i="8"/>
  <c r="CL48" i="8"/>
  <c r="CM48" i="8"/>
  <c r="CN48" i="8"/>
  <c r="CO48" i="8"/>
  <c r="CP48" i="8"/>
  <c r="CQ48" i="8"/>
  <c r="CL49" i="8"/>
  <c r="CM49" i="8"/>
  <c r="CN49" i="8"/>
  <c r="CO49" i="8"/>
  <c r="CP49" i="8"/>
  <c r="CQ49" i="8"/>
  <c r="CL50" i="8"/>
  <c r="CM50" i="8"/>
  <c r="CN50" i="8"/>
  <c r="CO50" i="8"/>
  <c r="CP50" i="8"/>
  <c r="CQ50" i="8"/>
  <c r="CL51" i="8"/>
  <c r="CM51" i="8"/>
  <c r="CN51" i="8"/>
  <c r="CO51" i="8"/>
  <c r="CP51" i="8"/>
  <c r="CQ51" i="8"/>
  <c r="CL52" i="8"/>
  <c r="CM52" i="8"/>
  <c r="CN52" i="8"/>
  <c r="CO52" i="8"/>
  <c r="CP52" i="8"/>
  <c r="CQ52" i="8"/>
  <c r="CL53" i="8"/>
  <c r="CM53" i="8"/>
  <c r="CN53" i="8"/>
  <c r="CO53" i="8"/>
  <c r="CP53" i="8"/>
  <c r="CQ53" i="8"/>
  <c r="CL54" i="8"/>
  <c r="CM54" i="8"/>
  <c r="CN54" i="8"/>
  <c r="CO54" i="8"/>
  <c r="CP54" i="8"/>
  <c r="CQ54" i="8"/>
  <c r="CQ4" i="8"/>
  <c r="CP4" i="8"/>
  <c r="CO4" i="8"/>
  <c r="CN4" i="8"/>
  <c r="CM4" i="8"/>
  <c r="CL4" i="8"/>
  <c r="BY5" i="8"/>
  <c r="BZ5" i="8"/>
  <c r="CA5" i="8"/>
  <c r="CB5" i="8"/>
  <c r="CC5" i="8"/>
  <c r="CD5" i="8"/>
  <c r="BY6" i="8"/>
  <c r="BZ6" i="8"/>
  <c r="CA6" i="8"/>
  <c r="CB6" i="8"/>
  <c r="CC6" i="8"/>
  <c r="CD6" i="8"/>
  <c r="BY7" i="8"/>
  <c r="BZ7" i="8"/>
  <c r="CA7" i="8"/>
  <c r="CB7" i="8"/>
  <c r="CC7" i="8"/>
  <c r="CD7" i="8"/>
  <c r="BY8" i="8"/>
  <c r="BZ8" i="8"/>
  <c r="CA8" i="8"/>
  <c r="CB8" i="8"/>
  <c r="CC8" i="8"/>
  <c r="CD8" i="8"/>
  <c r="BY9" i="8"/>
  <c r="BZ9" i="8"/>
  <c r="CA9" i="8"/>
  <c r="CB9" i="8"/>
  <c r="CC9" i="8"/>
  <c r="CD9" i="8"/>
  <c r="BY10" i="8"/>
  <c r="BZ10" i="8"/>
  <c r="CA10" i="8"/>
  <c r="CB10" i="8"/>
  <c r="CC10" i="8"/>
  <c r="CD10" i="8"/>
  <c r="BY11" i="8"/>
  <c r="BZ11" i="8"/>
  <c r="CA11" i="8"/>
  <c r="CB11" i="8"/>
  <c r="CC11" i="8"/>
  <c r="CD11" i="8"/>
  <c r="BY12" i="8"/>
  <c r="BZ12" i="8"/>
  <c r="CA12" i="8"/>
  <c r="CB12" i="8"/>
  <c r="CC12" i="8"/>
  <c r="CD12" i="8"/>
  <c r="BY13" i="8"/>
  <c r="BZ13" i="8"/>
  <c r="CA13" i="8"/>
  <c r="CB13" i="8"/>
  <c r="CC13" i="8"/>
  <c r="CD13" i="8"/>
  <c r="BY14" i="8"/>
  <c r="BZ14" i="8"/>
  <c r="CA14" i="8"/>
  <c r="CB14" i="8"/>
  <c r="CC14" i="8"/>
  <c r="CD14" i="8"/>
  <c r="BY15" i="8"/>
  <c r="BZ15" i="8"/>
  <c r="CA15" i="8"/>
  <c r="CB15" i="8"/>
  <c r="CC15" i="8"/>
  <c r="CD15" i="8"/>
  <c r="BY16" i="8"/>
  <c r="BZ16" i="8"/>
  <c r="CA16" i="8"/>
  <c r="CB16" i="8"/>
  <c r="CC16" i="8"/>
  <c r="CD16" i="8"/>
  <c r="BY17" i="8"/>
  <c r="BZ17" i="8"/>
  <c r="CA17" i="8"/>
  <c r="CB17" i="8"/>
  <c r="CC17" i="8"/>
  <c r="CD17" i="8"/>
  <c r="BY18" i="8"/>
  <c r="BZ18" i="8"/>
  <c r="CA18" i="8"/>
  <c r="CB18" i="8"/>
  <c r="CC18" i="8"/>
  <c r="CD18" i="8"/>
  <c r="BY19" i="8"/>
  <c r="BZ19" i="8"/>
  <c r="CA19" i="8"/>
  <c r="CB19" i="8"/>
  <c r="CC19" i="8"/>
  <c r="CD19" i="8"/>
  <c r="BY20" i="8"/>
  <c r="BZ20" i="8"/>
  <c r="CA20" i="8"/>
  <c r="CB20" i="8"/>
  <c r="CC20" i="8"/>
  <c r="CD20" i="8"/>
  <c r="BY21" i="8"/>
  <c r="BZ21" i="8"/>
  <c r="CA21" i="8"/>
  <c r="CB21" i="8"/>
  <c r="CC21" i="8"/>
  <c r="CD21" i="8"/>
  <c r="BY22" i="8"/>
  <c r="BZ22" i="8"/>
  <c r="CA22" i="8"/>
  <c r="CB22" i="8"/>
  <c r="CC22" i="8"/>
  <c r="CD22" i="8"/>
  <c r="BY23" i="8"/>
  <c r="BZ23" i="8"/>
  <c r="CA23" i="8"/>
  <c r="CB23" i="8"/>
  <c r="CC23" i="8"/>
  <c r="CD23" i="8"/>
  <c r="BY24" i="8"/>
  <c r="BZ24" i="8"/>
  <c r="CA24" i="8"/>
  <c r="CB24" i="8"/>
  <c r="CC24" i="8"/>
  <c r="CD24" i="8"/>
  <c r="BY25" i="8"/>
  <c r="BZ25" i="8"/>
  <c r="CA25" i="8"/>
  <c r="CB25" i="8"/>
  <c r="CC25" i="8"/>
  <c r="CD25" i="8"/>
  <c r="BY26" i="8"/>
  <c r="BZ26" i="8"/>
  <c r="CA26" i="8"/>
  <c r="CB26" i="8"/>
  <c r="CC26" i="8"/>
  <c r="CD26" i="8"/>
  <c r="BY27" i="8"/>
  <c r="BZ27" i="8"/>
  <c r="CA27" i="8"/>
  <c r="CB27" i="8"/>
  <c r="CC27" i="8"/>
  <c r="CD27" i="8"/>
  <c r="BY28" i="8"/>
  <c r="BZ28" i="8"/>
  <c r="CA28" i="8"/>
  <c r="CB28" i="8"/>
  <c r="CC28" i="8"/>
  <c r="CD28" i="8"/>
  <c r="BY29" i="8"/>
  <c r="BZ29" i="8"/>
  <c r="CA29" i="8"/>
  <c r="CB29" i="8"/>
  <c r="CC29" i="8"/>
  <c r="CD29" i="8"/>
  <c r="BY30" i="8"/>
  <c r="BZ30" i="8"/>
  <c r="CA30" i="8"/>
  <c r="CB30" i="8"/>
  <c r="CC30" i="8"/>
  <c r="CD30" i="8"/>
  <c r="BY31" i="8"/>
  <c r="BZ31" i="8"/>
  <c r="CA31" i="8"/>
  <c r="CB31" i="8"/>
  <c r="CC31" i="8"/>
  <c r="CD31" i="8"/>
  <c r="BY32" i="8"/>
  <c r="BZ32" i="8"/>
  <c r="CA32" i="8"/>
  <c r="CB32" i="8"/>
  <c r="CC32" i="8"/>
  <c r="CD32" i="8"/>
  <c r="BY33" i="8"/>
  <c r="BZ33" i="8"/>
  <c r="CA33" i="8"/>
  <c r="CB33" i="8"/>
  <c r="CC33" i="8"/>
  <c r="CD33" i="8"/>
  <c r="BY34" i="8"/>
  <c r="BZ34" i="8"/>
  <c r="CA34" i="8"/>
  <c r="CB34" i="8"/>
  <c r="CC34" i="8"/>
  <c r="CD34" i="8"/>
  <c r="BY35" i="8"/>
  <c r="BZ35" i="8"/>
  <c r="CA35" i="8"/>
  <c r="CB35" i="8"/>
  <c r="CC35" i="8"/>
  <c r="CD35" i="8"/>
  <c r="BY36" i="8"/>
  <c r="BZ36" i="8"/>
  <c r="CA36" i="8"/>
  <c r="CB36" i="8"/>
  <c r="CC36" i="8"/>
  <c r="CD36" i="8"/>
  <c r="BY37" i="8"/>
  <c r="BZ37" i="8"/>
  <c r="CA37" i="8"/>
  <c r="CB37" i="8"/>
  <c r="CC37" i="8"/>
  <c r="CD37" i="8"/>
  <c r="BY38" i="8"/>
  <c r="BZ38" i="8"/>
  <c r="CA38" i="8"/>
  <c r="CB38" i="8"/>
  <c r="CC38" i="8"/>
  <c r="CD38" i="8"/>
  <c r="BY39" i="8"/>
  <c r="BZ39" i="8"/>
  <c r="CA39" i="8"/>
  <c r="CB39" i="8"/>
  <c r="CC39" i="8"/>
  <c r="CD39" i="8"/>
  <c r="BY40" i="8"/>
  <c r="BZ40" i="8"/>
  <c r="CA40" i="8"/>
  <c r="CB40" i="8"/>
  <c r="CC40" i="8"/>
  <c r="CD40" i="8"/>
  <c r="BY41" i="8"/>
  <c r="BZ41" i="8"/>
  <c r="CA41" i="8"/>
  <c r="CB41" i="8"/>
  <c r="CC41" i="8"/>
  <c r="CD41" i="8"/>
  <c r="BY42" i="8"/>
  <c r="BZ42" i="8"/>
  <c r="CA42" i="8"/>
  <c r="CB42" i="8"/>
  <c r="CC42" i="8"/>
  <c r="CD42" i="8"/>
  <c r="BY43" i="8"/>
  <c r="BZ43" i="8"/>
  <c r="CA43" i="8"/>
  <c r="CB43" i="8"/>
  <c r="CC43" i="8"/>
  <c r="CD43" i="8"/>
  <c r="BY44" i="8"/>
  <c r="BZ44" i="8"/>
  <c r="CA44" i="8"/>
  <c r="CB44" i="8"/>
  <c r="CC44" i="8"/>
  <c r="CD44" i="8"/>
  <c r="BY45" i="8"/>
  <c r="BZ45" i="8"/>
  <c r="CA45" i="8"/>
  <c r="CB45" i="8"/>
  <c r="CC45" i="8"/>
  <c r="CD45" i="8"/>
  <c r="BY46" i="8"/>
  <c r="BZ46" i="8"/>
  <c r="CA46" i="8"/>
  <c r="CB46" i="8"/>
  <c r="CC46" i="8"/>
  <c r="CD46" i="8"/>
  <c r="BY47" i="8"/>
  <c r="BZ47" i="8"/>
  <c r="CA47" i="8"/>
  <c r="CB47" i="8"/>
  <c r="CC47" i="8"/>
  <c r="CD47" i="8"/>
  <c r="BY48" i="8"/>
  <c r="BZ48" i="8"/>
  <c r="CA48" i="8"/>
  <c r="CB48" i="8"/>
  <c r="CC48" i="8"/>
  <c r="CD48" i="8"/>
  <c r="BY49" i="8"/>
  <c r="BZ49" i="8"/>
  <c r="CA49" i="8"/>
  <c r="CB49" i="8"/>
  <c r="CC49" i="8"/>
  <c r="CD49" i="8"/>
  <c r="BY50" i="8"/>
  <c r="BZ50" i="8"/>
  <c r="CA50" i="8"/>
  <c r="CB50" i="8"/>
  <c r="CC50" i="8"/>
  <c r="CD50" i="8"/>
  <c r="BY51" i="8"/>
  <c r="BZ51" i="8"/>
  <c r="CA51" i="8"/>
  <c r="CB51" i="8"/>
  <c r="CC51" i="8"/>
  <c r="CD51" i="8"/>
  <c r="BY52" i="8"/>
  <c r="BZ52" i="8"/>
  <c r="CA52" i="8"/>
  <c r="CB52" i="8"/>
  <c r="CC52" i="8"/>
  <c r="CD52" i="8"/>
  <c r="BY53" i="8"/>
  <c r="BZ53" i="8"/>
  <c r="CA53" i="8"/>
  <c r="CB53" i="8"/>
  <c r="CC53" i="8"/>
  <c r="CD53" i="8"/>
  <c r="BY54" i="8"/>
  <c r="BZ54" i="8"/>
  <c r="CA54" i="8"/>
  <c r="CB54" i="8"/>
  <c r="CC54" i="8"/>
  <c r="CD54" i="8"/>
  <c r="CD4" i="8"/>
  <c r="CC4" i="8"/>
  <c r="CB4" i="8"/>
  <c r="CA4" i="8"/>
  <c r="BZ4" i="8"/>
  <c r="BY4" i="8"/>
  <c r="B78" i="8"/>
  <c r="B62" i="8"/>
  <c r="U5" i="13"/>
  <c r="U6" i="13"/>
  <c r="U7" i="13"/>
  <c r="U4" i="13"/>
  <c r="W5" i="13"/>
  <c r="W6" i="13"/>
  <c r="W7" i="13"/>
  <c r="W4" i="13"/>
  <c r="BY5" i="2"/>
  <c r="BZ5" i="2"/>
  <c r="CA5" i="2"/>
  <c r="CB5" i="2"/>
  <c r="CC5" i="2"/>
  <c r="CD5" i="2"/>
  <c r="BY6" i="2"/>
  <c r="BZ6" i="2"/>
  <c r="CA6" i="2"/>
  <c r="CB6" i="2"/>
  <c r="CC6" i="2"/>
  <c r="CD6" i="2"/>
  <c r="BY7" i="2"/>
  <c r="BZ7" i="2"/>
  <c r="CA7" i="2"/>
  <c r="CB7" i="2"/>
  <c r="CC7" i="2"/>
  <c r="CD7" i="2"/>
  <c r="BY8" i="2"/>
  <c r="BZ8" i="2"/>
  <c r="CA8" i="2"/>
  <c r="CB8" i="2"/>
  <c r="CC8" i="2"/>
  <c r="CD8" i="2"/>
  <c r="BY9" i="2"/>
  <c r="BZ9" i="2"/>
  <c r="CA9" i="2"/>
  <c r="CB9" i="2"/>
  <c r="CC9" i="2"/>
  <c r="CD9" i="2"/>
  <c r="BY10" i="2"/>
  <c r="BZ10" i="2"/>
  <c r="CA10" i="2"/>
  <c r="CB10" i="2"/>
  <c r="CC10" i="2"/>
  <c r="CD10" i="2"/>
  <c r="BY11" i="2"/>
  <c r="BZ11" i="2"/>
  <c r="CA11" i="2"/>
  <c r="CB11" i="2"/>
  <c r="CC11" i="2"/>
  <c r="CD11" i="2"/>
  <c r="BY12" i="2"/>
  <c r="BZ12" i="2"/>
  <c r="CA12" i="2"/>
  <c r="CB12" i="2"/>
  <c r="CC12" i="2"/>
  <c r="CD12" i="2"/>
  <c r="BY13" i="2"/>
  <c r="BZ13" i="2"/>
  <c r="CA13" i="2"/>
  <c r="CB13" i="2"/>
  <c r="CC13" i="2"/>
  <c r="CD13" i="2"/>
  <c r="BY14" i="2"/>
  <c r="BZ14" i="2"/>
  <c r="CA14" i="2"/>
  <c r="CB14" i="2"/>
  <c r="CC14" i="2"/>
  <c r="CD14" i="2"/>
  <c r="BY15" i="2"/>
  <c r="BZ15" i="2"/>
  <c r="CA15" i="2"/>
  <c r="CB15" i="2"/>
  <c r="CC15" i="2"/>
  <c r="CD15" i="2"/>
  <c r="BY16" i="2"/>
  <c r="BZ16" i="2"/>
  <c r="CA16" i="2"/>
  <c r="CB16" i="2"/>
  <c r="CC16" i="2"/>
  <c r="CD16" i="2"/>
  <c r="BY17" i="2"/>
  <c r="BZ17" i="2"/>
  <c r="CA17" i="2"/>
  <c r="CB17" i="2"/>
  <c r="CC17" i="2"/>
  <c r="CD17" i="2"/>
  <c r="BY18" i="2"/>
  <c r="BZ18" i="2"/>
  <c r="CA18" i="2"/>
  <c r="CB18" i="2"/>
  <c r="CC18" i="2"/>
  <c r="CD18" i="2"/>
  <c r="BY19" i="2"/>
  <c r="BZ19" i="2"/>
  <c r="CA19" i="2"/>
  <c r="CB19" i="2"/>
  <c r="CC19" i="2"/>
  <c r="CD19" i="2"/>
  <c r="BY20" i="2"/>
  <c r="BZ20" i="2"/>
  <c r="CA20" i="2"/>
  <c r="CB20" i="2"/>
  <c r="CC20" i="2"/>
  <c r="CD20" i="2"/>
  <c r="BY21" i="2"/>
  <c r="BZ21" i="2"/>
  <c r="CA21" i="2"/>
  <c r="CB21" i="2"/>
  <c r="CC21" i="2"/>
  <c r="CD21" i="2"/>
  <c r="BY22" i="2"/>
  <c r="BZ22" i="2"/>
  <c r="CA22" i="2"/>
  <c r="CB22" i="2"/>
  <c r="CC22" i="2"/>
  <c r="CD22" i="2"/>
  <c r="BY23" i="2"/>
  <c r="BZ23" i="2"/>
  <c r="CA23" i="2"/>
  <c r="CB23" i="2"/>
  <c r="CC23" i="2"/>
  <c r="CD23" i="2"/>
  <c r="BY24" i="2"/>
  <c r="BZ24" i="2"/>
  <c r="CA24" i="2"/>
  <c r="CB24" i="2"/>
  <c r="CC24" i="2"/>
  <c r="CD24" i="2"/>
  <c r="BY25" i="2"/>
  <c r="BZ25" i="2"/>
  <c r="CA25" i="2"/>
  <c r="CB25" i="2"/>
  <c r="CC25" i="2"/>
  <c r="CD25" i="2"/>
  <c r="BY26" i="2"/>
  <c r="BZ26" i="2"/>
  <c r="CA26" i="2"/>
  <c r="CB26" i="2"/>
  <c r="CC26" i="2"/>
  <c r="CD26" i="2"/>
  <c r="BY27" i="2"/>
  <c r="BZ27" i="2"/>
  <c r="CA27" i="2"/>
  <c r="CB27" i="2"/>
  <c r="CC27" i="2"/>
  <c r="CD27" i="2"/>
  <c r="BY28" i="2"/>
  <c r="BZ28" i="2"/>
  <c r="CA28" i="2"/>
  <c r="CB28" i="2"/>
  <c r="CC28" i="2"/>
  <c r="CD28" i="2"/>
  <c r="BY29" i="2"/>
  <c r="BZ29" i="2"/>
  <c r="CA29" i="2"/>
  <c r="CB29" i="2"/>
  <c r="CC29" i="2"/>
  <c r="CD29" i="2"/>
  <c r="BY30" i="2"/>
  <c r="BZ30" i="2"/>
  <c r="CA30" i="2"/>
  <c r="CB30" i="2"/>
  <c r="CC30" i="2"/>
  <c r="CD30" i="2"/>
  <c r="BY31" i="2"/>
  <c r="BZ31" i="2"/>
  <c r="CA31" i="2"/>
  <c r="CB31" i="2"/>
  <c r="CC31" i="2"/>
  <c r="CD31" i="2"/>
  <c r="BY32" i="2"/>
  <c r="BZ32" i="2"/>
  <c r="CA32" i="2"/>
  <c r="CB32" i="2"/>
  <c r="CC32" i="2"/>
  <c r="CD32" i="2"/>
  <c r="BY33" i="2"/>
  <c r="BZ33" i="2"/>
  <c r="CA33" i="2"/>
  <c r="CB33" i="2"/>
  <c r="CC33" i="2"/>
  <c r="CD33" i="2"/>
  <c r="BY34" i="2"/>
  <c r="BZ34" i="2"/>
  <c r="CA34" i="2"/>
  <c r="CB34" i="2"/>
  <c r="CC34" i="2"/>
  <c r="CD34" i="2"/>
  <c r="BY35" i="2"/>
  <c r="BZ35" i="2"/>
  <c r="CA35" i="2"/>
  <c r="CB35" i="2"/>
  <c r="CC35" i="2"/>
  <c r="CD35" i="2"/>
  <c r="BY36" i="2"/>
  <c r="BZ36" i="2"/>
  <c r="CA36" i="2"/>
  <c r="CB36" i="2"/>
  <c r="CC36" i="2"/>
  <c r="CD36" i="2"/>
  <c r="BY37" i="2"/>
  <c r="BZ37" i="2"/>
  <c r="CA37" i="2"/>
  <c r="CB37" i="2"/>
  <c r="CC37" i="2"/>
  <c r="CD37" i="2"/>
  <c r="BY38" i="2"/>
  <c r="BZ38" i="2"/>
  <c r="CA38" i="2"/>
  <c r="CB38" i="2"/>
  <c r="CC38" i="2"/>
  <c r="CD38" i="2"/>
  <c r="BY39" i="2"/>
  <c r="BZ39" i="2"/>
  <c r="CA39" i="2"/>
  <c r="CB39" i="2"/>
  <c r="CC39" i="2"/>
  <c r="CD39" i="2"/>
  <c r="BY40" i="2"/>
  <c r="BZ40" i="2"/>
  <c r="CA40" i="2"/>
  <c r="CB40" i="2"/>
  <c r="CC40" i="2"/>
  <c r="CD40" i="2"/>
  <c r="BY41" i="2"/>
  <c r="BZ41" i="2"/>
  <c r="CA41" i="2"/>
  <c r="CB41" i="2"/>
  <c r="CC41" i="2"/>
  <c r="CD41" i="2"/>
  <c r="BY42" i="2"/>
  <c r="BZ42" i="2"/>
  <c r="CA42" i="2"/>
  <c r="CB42" i="2"/>
  <c r="CC42" i="2"/>
  <c r="CD42" i="2"/>
  <c r="BY43" i="2"/>
  <c r="BZ43" i="2"/>
  <c r="CA43" i="2"/>
  <c r="CB43" i="2"/>
  <c r="CC43" i="2"/>
  <c r="CD43" i="2"/>
  <c r="BY44" i="2"/>
  <c r="BZ44" i="2"/>
  <c r="CA44" i="2"/>
  <c r="CB44" i="2"/>
  <c r="CC44" i="2"/>
  <c r="CD44" i="2"/>
  <c r="BY45" i="2"/>
  <c r="BZ45" i="2"/>
  <c r="CA45" i="2"/>
  <c r="CB45" i="2"/>
  <c r="CC45" i="2"/>
  <c r="CD45" i="2"/>
  <c r="BY46" i="2"/>
  <c r="BZ46" i="2"/>
  <c r="CA46" i="2"/>
  <c r="CB46" i="2"/>
  <c r="CC46" i="2"/>
  <c r="CD46" i="2"/>
  <c r="BY47" i="2"/>
  <c r="BZ47" i="2"/>
  <c r="CA47" i="2"/>
  <c r="CB47" i="2"/>
  <c r="CC47" i="2"/>
  <c r="CD47" i="2"/>
  <c r="BY48" i="2"/>
  <c r="BZ48" i="2"/>
  <c r="CA48" i="2"/>
  <c r="CB48" i="2"/>
  <c r="CC48" i="2"/>
  <c r="CD48" i="2"/>
  <c r="BY49" i="2"/>
  <c r="BZ49" i="2"/>
  <c r="CA49" i="2"/>
  <c r="CB49" i="2"/>
  <c r="CC49" i="2"/>
  <c r="CD49" i="2"/>
  <c r="BY50" i="2"/>
  <c r="BZ50" i="2"/>
  <c r="CA50" i="2"/>
  <c r="CB50" i="2"/>
  <c r="CC50" i="2"/>
  <c r="CD50" i="2"/>
  <c r="BY51" i="2"/>
  <c r="BZ51" i="2"/>
  <c r="CA51" i="2"/>
  <c r="CB51" i="2"/>
  <c r="CC51" i="2"/>
  <c r="CD51" i="2"/>
  <c r="BY52" i="2"/>
  <c r="BZ52" i="2"/>
  <c r="CA52" i="2"/>
  <c r="CB52" i="2"/>
  <c r="CC52" i="2"/>
  <c r="CD52" i="2"/>
  <c r="BY53" i="2"/>
  <c r="BZ53" i="2"/>
  <c r="CA53" i="2"/>
  <c r="CB53" i="2"/>
  <c r="CC53" i="2"/>
  <c r="CD53" i="2"/>
  <c r="BY54" i="2"/>
  <c r="BZ54" i="2"/>
  <c r="CA54" i="2"/>
  <c r="CB54" i="2"/>
  <c r="CC54" i="2"/>
  <c r="CD54" i="2"/>
  <c r="CD4" i="2"/>
  <c r="CC4" i="2"/>
  <c r="CB4" i="2"/>
  <c r="CA4" i="2"/>
  <c r="BZ4" i="2"/>
  <c r="BY4" i="2"/>
  <c r="B80" i="2"/>
  <c r="B71" i="8" l="1"/>
  <c r="B77" i="8"/>
  <c r="B76" i="8"/>
  <c r="BK15" i="13"/>
  <c r="BI15" i="13"/>
  <c r="BE15" i="13"/>
  <c r="BJ15" i="13"/>
  <c r="BK12" i="13"/>
  <c r="B94" i="16" s="1"/>
  <c r="F82" i="1" s="1"/>
  <c r="BI12" i="13"/>
  <c r="B96" i="16" s="1"/>
  <c r="BJ12" i="13"/>
  <c r="B93" i="16" s="1"/>
  <c r="D82" i="1" s="1"/>
  <c r="BE12" i="13"/>
  <c r="B95" i="16" s="1"/>
  <c r="BK14" i="13"/>
  <c r="BI14" i="13"/>
  <c r="BE14" i="13"/>
  <c r="BJ14" i="13"/>
  <c r="BK13" i="13"/>
  <c r="BI13" i="13"/>
  <c r="BE13" i="13"/>
  <c r="BJ13" i="13"/>
  <c r="B92" i="9"/>
  <c r="B200" i="23" s="1"/>
  <c r="B90" i="9"/>
  <c r="B67" i="23" s="1"/>
  <c r="B93" i="9"/>
  <c r="B201" i="23" s="1"/>
  <c r="B83" i="9"/>
  <c r="B82" i="9"/>
  <c r="B75" i="9"/>
  <c r="B81" i="9"/>
  <c r="CU52" i="16"/>
  <c r="CU44" i="16"/>
  <c r="CU37" i="16"/>
  <c r="CU29" i="16"/>
  <c r="CU21" i="16"/>
  <c r="CU13" i="16"/>
  <c r="CU5" i="16"/>
  <c r="CU4" i="16"/>
  <c r="CU49" i="16"/>
  <c r="CU34" i="16"/>
  <c r="CU50" i="16"/>
  <c r="CU42" i="16"/>
  <c r="CU35" i="16"/>
  <c r="CU27" i="16"/>
  <c r="CU19" i="16"/>
  <c r="CU11" i="16"/>
  <c r="CU41" i="16"/>
  <c r="CU26" i="16"/>
  <c r="CU18" i="16"/>
  <c r="CU10" i="16"/>
  <c r="CU51" i="16"/>
  <c r="CU43" i="16"/>
  <c r="CU36" i="16"/>
  <c r="CU28" i="16"/>
  <c r="CU20" i="16"/>
  <c r="CU12" i="16"/>
  <c r="CU22" i="16"/>
  <c r="CU54" i="16"/>
  <c r="CU46" i="16"/>
  <c r="CU38" i="16"/>
  <c r="CU31" i="16"/>
  <c r="CU23" i="16"/>
  <c r="CU15" i="16"/>
  <c r="CU7" i="16"/>
  <c r="CU53" i="16"/>
  <c r="CU30" i="16"/>
  <c r="CU47" i="16"/>
  <c r="CU39" i="16"/>
  <c r="CU32" i="16"/>
  <c r="CU24" i="16"/>
  <c r="CU16" i="16"/>
  <c r="CU8" i="16"/>
  <c r="CU45" i="16"/>
  <c r="CU14" i="16"/>
  <c r="CU6" i="16"/>
  <c r="CU48" i="16"/>
  <c r="CU40" i="16"/>
  <c r="CU33" i="16"/>
  <c r="CU25" i="16"/>
  <c r="CU17" i="16"/>
  <c r="CU9" i="16"/>
  <c r="CR28" i="8"/>
  <c r="CR5" i="8"/>
  <c r="CR4" i="8"/>
  <c r="CR45" i="8"/>
  <c r="CR9" i="9"/>
  <c r="CR42" i="8"/>
  <c r="CR34" i="8"/>
  <c r="CR52" i="8"/>
  <c r="CR12" i="8"/>
  <c r="CR29" i="8"/>
  <c r="CR40" i="8"/>
  <c r="CR9" i="8"/>
  <c r="CR14" i="8"/>
  <c r="CR44" i="8"/>
  <c r="CR49" i="8"/>
  <c r="CR20" i="8"/>
  <c r="CR37" i="8"/>
  <c r="CR13" i="8"/>
  <c r="CR54" i="8"/>
  <c r="CR36" i="8"/>
  <c r="CR32" i="8"/>
  <c r="CR27" i="8"/>
  <c r="CR23" i="8"/>
  <c r="CR10" i="8"/>
  <c r="CR46" i="8"/>
  <c r="CR41" i="8"/>
  <c r="CR11" i="8"/>
  <c r="CR25" i="9"/>
  <c r="CR17" i="9"/>
  <c r="CR30" i="8"/>
  <c r="CR25" i="8"/>
  <c r="CR21" i="8"/>
  <c r="CR16" i="8"/>
  <c r="CR7" i="8"/>
  <c r="CR48" i="8"/>
  <c r="CR43" i="8"/>
  <c r="CR39" i="8"/>
  <c r="CR26" i="8"/>
  <c r="CR17" i="8"/>
  <c r="CR8" i="8"/>
  <c r="CR53" i="8"/>
  <c r="CR35" i="8"/>
  <c r="CR31" i="8"/>
  <c r="CR22" i="8"/>
  <c r="CR50" i="8"/>
  <c r="CR18" i="8"/>
  <c r="CR51" i="8"/>
  <c r="CR47" i="8"/>
  <c r="CR38" i="8"/>
  <c r="CR33" i="8"/>
  <c r="CR24" i="8"/>
  <c r="CR19" i="8"/>
  <c r="CR15" i="8"/>
  <c r="CR6" i="8"/>
  <c r="CR26" i="9"/>
  <c r="CR10" i="9"/>
  <c r="CR11" i="9"/>
  <c r="CR41" i="9"/>
  <c r="CR33" i="9"/>
  <c r="CR28" i="9"/>
  <c r="CR20" i="9"/>
  <c r="CR12" i="9"/>
  <c r="CR29" i="9"/>
  <c r="CR21" i="9"/>
  <c r="CR13" i="9"/>
  <c r="CR5" i="9"/>
  <c r="CR18" i="9"/>
  <c r="CR27" i="9"/>
  <c r="CR14" i="9"/>
  <c r="CR23" i="9"/>
  <c r="CR15" i="9"/>
  <c r="CR7" i="9"/>
  <c r="CR19" i="9"/>
  <c r="CR22" i="9"/>
  <c r="CR6" i="9"/>
  <c r="CR24" i="9"/>
  <c r="CR16" i="9"/>
  <c r="CR8" i="9"/>
  <c r="CR42" i="9"/>
  <c r="CR4" i="9"/>
  <c r="CR39" i="9"/>
  <c r="CR31" i="9"/>
  <c r="CR40" i="9"/>
  <c r="CR32" i="9"/>
  <c r="CR35" i="9"/>
  <c r="CR44" i="9"/>
  <c r="CR36" i="9"/>
  <c r="CR45" i="9"/>
  <c r="CR37" i="9"/>
  <c r="CR34" i="9"/>
  <c r="CR43" i="9"/>
  <c r="CR50" i="9"/>
  <c r="CR38" i="9"/>
  <c r="CR51" i="9"/>
  <c r="CR30" i="9"/>
  <c r="CR54" i="9"/>
  <c r="CR46" i="9"/>
  <c r="CR52" i="9"/>
  <c r="CR53" i="9"/>
  <c r="CR47" i="9"/>
  <c r="CR48" i="9"/>
  <c r="CR49" i="9"/>
  <c r="B91" i="9"/>
  <c r="B87" i="9"/>
  <c r="B89" i="9"/>
  <c r="B88" i="9"/>
  <c r="B86" i="9"/>
  <c r="B80" i="9"/>
  <c r="B78" i="9"/>
  <c r="B79" i="9"/>
  <c r="B76" i="9"/>
  <c r="B77" i="9"/>
  <c r="B63" i="8"/>
  <c r="B68" i="8"/>
  <c r="B69" i="8"/>
  <c r="B70" i="8"/>
  <c r="B72" i="8"/>
  <c r="B73" i="8"/>
  <c r="B64" i="8"/>
  <c r="B67" i="8"/>
  <c r="B118" i="25" s="1"/>
  <c r="B120" i="25" s="1"/>
  <c r="D84" i="1" l="1"/>
  <c r="D83" i="1"/>
  <c r="F84" i="1"/>
  <c r="F83" i="1"/>
  <c r="B206" i="23"/>
  <c r="B130" i="9"/>
  <c r="B208" i="23"/>
  <c r="B210" i="23"/>
  <c r="B128" i="9" s="1"/>
  <c r="B238" i="23"/>
  <c r="B236" i="23"/>
  <c r="B69" i="23"/>
  <c r="B84" i="9"/>
  <c r="CL6" i="16"/>
  <c r="CL14" i="16"/>
  <c r="CL22" i="16"/>
  <c r="CL30" i="16"/>
  <c r="CL38" i="16"/>
  <c r="CL46" i="16"/>
  <c r="CL54" i="16"/>
  <c r="CL23" i="16"/>
  <c r="CL31" i="16"/>
  <c r="CL39" i="16"/>
  <c r="CL34" i="16"/>
  <c r="CL50" i="16"/>
  <c r="CL9" i="16"/>
  <c r="CL17" i="16"/>
  <c r="CL25" i="16"/>
  <c r="CL33" i="16"/>
  <c r="CL41" i="16"/>
  <c r="CL49" i="16"/>
  <c r="CL4" i="16"/>
  <c r="CL10" i="16"/>
  <c r="CL18" i="16"/>
  <c r="CL21" i="16"/>
  <c r="CL29" i="16"/>
  <c r="CL37" i="16"/>
  <c r="CL12" i="16"/>
  <c r="CL20" i="16"/>
  <c r="CL28" i="16"/>
  <c r="CL36" i="16"/>
  <c r="CL44" i="16"/>
  <c r="CL52" i="16"/>
  <c r="CL7" i="16"/>
  <c r="CL15" i="16"/>
  <c r="CL47" i="16"/>
  <c r="CL26" i="16"/>
  <c r="CL42" i="16"/>
  <c r="CL13" i="16"/>
  <c r="CL8" i="16"/>
  <c r="CL16" i="16"/>
  <c r="CL24" i="16"/>
  <c r="CL32" i="16"/>
  <c r="CL40" i="16"/>
  <c r="CL48" i="16"/>
  <c r="CL11" i="16"/>
  <c r="CL19" i="16"/>
  <c r="CL27" i="16"/>
  <c r="CL35" i="16"/>
  <c r="CL43" i="16"/>
  <c r="CL51" i="16"/>
  <c r="CL5" i="16"/>
  <c r="CL45" i="16"/>
  <c r="CL53" i="16"/>
  <c r="CB7" i="9"/>
  <c r="CB15" i="9"/>
  <c r="CB23" i="9"/>
  <c r="CB31" i="9"/>
  <c r="CB39" i="9"/>
  <c r="CB47" i="9"/>
  <c r="CB8" i="9"/>
  <c r="CB40" i="9"/>
  <c r="CB11" i="9"/>
  <c r="CB10" i="9"/>
  <c r="CB18" i="9"/>
  <c r="CB26" i="9"/>
  <c r="CB34" i="9"/>
  <c r="CB42" i="9"/>
  <c r="CB50" i="9"/>
  <c r="CB48" i="9"/>
  <c r="CB35" i="9"/>
  <c r="CB5" i="9"/>
  <c r="CB13" i="9"/>
  <c r="CB21" i="9"/>
  <c r="CB29" i="9"/>
  <c r="CB37" i="9"/>
  <c r="CB45" i="9"/>
  <c r="CB53" i="9"/>
  <c r="CB16" i="9"/>
  <c r="CB24" i="9"/>
  <c r="CB32" i="9"/>
  <c r="CB19" i="9"/>
  <c r="CB27" i="9"/>
  <c r="CB43" i="9"/>
  <c r="CB51" i="9"/>
  <c r="CB6" i="9"/>
  <c r="CB14" i="9"/>
  <c r="CB22" i="9"/>
  <c r="CB30" i="9"/>
  <c r="CB38" i="9"/>
  <c r="CB46" i="9"/>
  <c r="CB54" i="9"/>
  <c r="CB9" i="9"/>
  <c r="CB17" i="9"/>
  <c r="CB25" i="9"/>
  <c r="CB33" i="9"/>
  <c r="CB41" i="9"/>
  <c r="CB49" i="9"/>
  <c r="CB4" i="9"/>
  <c r="CB12" i="9"/>
  <c r="CB20" i="9"/>
  <c r="CB28" i="9"/>
  <c r="CB36" i="9"/>
  <c r="CB44" i="9"/>
  <c r="CB52" i="9"/>
  <c r="CJ12" i="8"/>
  <c r="CJ20" i="8"/>
  <c r="CJ28" i="8"/>
  <c r="CJ36" i="8"/>
  <c r="CJ44" i="8"/>
  <c r="CJ52" i="8"/>
  <c r="CJ37" i="8"/>
  <c r="CJ7" i="8"/>
  <c r="CJ15" i="8"/>
  <c r="CJ23" i="8"/>
  <c r="CJ31" i="8"/>
  <c r="CJ39" i="8"/>
  <c r="CJ47" i="8"/>
  <c r="CJ13" i="8"/>
  <c r="CJ29" i="8"/>
  <c r="CJ10" i="8"/>
  <c r="CJ18" i="8"/>
  <c r="CJ26" i="8"/>
  <c r="CJ34" i="8"/>
  <c r="CJ42" i="8"/>
  <c r="CJ50" i="8"/>
  <c r="CJ5" i="8"/>
  <c r="CJ21" i="8"/>
  <c r="CJ45" i="8"/>
  <c r="CJ53" i="8"/>
  <c r="CJ8" i="8"/>
  <c r="CJ16" i="8"/>
  <c r="CJ24" i="8"/>
  <c r="CJ32" i="8"/>
  <c r="CJ40" i="8"/>
  <c r="CJ48" i="8"/>
  <c r="CJ11" i="8"/>
  <c r="CJ19" i="8"/>
  <c r="CJ27" i="8"/>
  <c r="CJ35" i="8"/>
  <c r="CJ43" i="8"/>
  <c r="CJ51" i="8"/>
  <c r="CJ6" i="8"/>
  <c r="CJ14" i="8"/>
  <c r="CJ22" i="8"/>
  <c r="CJ30" i="8"/>
  <c r="CJ38" i="8"/>
  <c r="CJ46" i="8"/>
  <c r="CJ54" i="8"/>
  <c r="CJ9" i="8"/>
  <c r="CJ17" i="8"/>
  <c r="CJ25" i="8"/>
  <c r="CJ33" i="8"/>
  <c r="CJ41" i="8"/>
  <c r="CJ49" i="8"/>
  <c r="CJ4" i="8"/>
  <c r="DL11" i="9" l="1"/>
  <c r="DL47" i="9"/>
  <c r="DK17" i="9"/>
  <c r="DK36" i="9"/>
  <c r="DK54" i="9"/>
  <c r="DK28" i="9"/>
  <c r="DK38" i="9"/>
  <c r="DL40" i="9"/>
  <c r="DK39" i="9"/>
  <c r="DK13" i="9"/>
  <c r="DK40" i="9"/>
  <c r="DL12" i="9"/>
  <c r="DL26" i="9"/>
  <c r="DL38" i="9"/>
  <c r="DL59" i="9"/>
  <c r="DK19" i="9"/>
  <c r="DK46" i="9"/>
  <c r="DK11" i="9"/>
  <c r="DK56" i="9"/>
  <c r="DL28" i="9"/>
  <c r="DK30" i="9"/>
  <c r="DL18" i="9"/>
  <c r="DL42" i="9"/>
  <c r="DK22" i="9"/>
  <c r="DK49" i="9"/>
  <c r="DL14" i="9"/>
  <c r="DL27" i="9"/>
  <c r="DL50" i="9"/>
  <c r="DK29" i="9"/>
  <c r="DK12" i="9"/>
  <c r="DK48" i="9"/>
  <c r="DL30" i="9"/>
  <c r="DL52" i="9"/>
  <c r="DK31" i="9"/>
  <c r="DK59" i="9"/>
  <c r="DL10" i="9"/>
  <c r="DL22" i="9"/>
  <c r="DL35" i="9"/>
  <c r="DL46" i="9"/>
  <c r="DL56" i="9"/>
  <c r="DK7" i="9"/>
  <c r="DK16" i="9"/>
  <c r="DK25" i="9"/>
  <c r="DK35" i="9"/>
  <c r="DK44" i="9"/>
  <c r="DK53" i="9"/>
  <c r="DL24" i="9"/>
  <c r="DL36" i="9"/>
  <c r="DL58" i="9"/>
  <c r="DK8" i="9"/>
  <c r="DK27" i="9"/>
  <c r="DK45" i="9"/>
  <c r="DL48" i="9"/>
  <c r="DK9" i="9"/>
  <c r="DK37" i="9"/>
  <c r="DK55" i="9"/>
  <c r="DL39" i="9"/>
  <c r="DK20" i="9"/>
  <c r="DK47" i="9"/>
  <c r="DL4" i="9"/>
  <c r="DL16" i="9"/>
  <c r="DL51" i="9"/>
  <c r="DK21" i="9"/>
  <c r="DK57" i="9"/>
  <c r="DL6" i="9"/>
  <c r="DK4" i="9"/>
  <c r="DL19" i="9"/>
  <c r="DK14" i="9"/>
  <c r="DL32" i="9"/>
  <c r="DK23" i="9"/>
  <c r="DL54" i="9"/>
  <c r="DK41" i="9"/>
  <c r="DK51" i="9"/>
  <c r="DL43" i="9"/>
  <c r="DK32" i="9"/>
  <c r="DL33" i="9"/>
  <c r="DL29" i="9"/>
  <c r="DK42" i="9"/>
  <c r="DK5" i="9"/>
  <c r="DL57" i="9"/>
  <c r="DK52" i="9"/>
  <c r="DL20" i="9"/>
  <c r="DK18" i="9"/>
  <c r="DL8" i="9"/>
  <c r="DL7" i="9"/>
  <c r="DL41" i="9"/>
  <c r="DL37" i="9"/>
  <c r="DK50" i="9"/>
  <c r="DL55" i="9"/>
  <c r="DL23" i="9"/>
  <c r="DL53" i="9"/>
  <c r="DL34" i="9"/>
  <c r="DL15" i="9"/>
  <c r="DL49" i="9"/>
  <c r="DL45" i="9"/>
  <c r="DK58" i="9"/>
  <c r="DL44" i="9"/>
  <c r="DL31" i="9"/>
  <c r="DK6" i="9"/>
  <c r="DK10" i="9"/>
  <c r="DK43" i="9"/>
  <c r="DL17" i="9"/>
  <c r="DL13" i="9"/>
  <c r="DK26" i="9"/>
  <c r="DK24" i="9"/>
  <c r="DL25" i="9"/>
  <c r="DL21" i="9"/>
  <c r="DK34" i="9"/>
  <c r="DK15" i="9"/>
  <c r="DL9" i="9"/>
  <c r="DL5" i="9"/>
  <c r="DK33" i="9"/>
  <c r="B10" i="7"/>
  <c r="P4" i="13"/>
  <c r="BB9" i="13"/>
  <c r="BC9" i="13"/>
  <c r="BB10" i="13"/>
  <c r="BC10" i="13"/>
  <c r="BB11" i="13"/>
  <c r="BC11" i="13"/>
  <c r="BC8" i="13"/>
  <c r="BB8" i="13"/>
  <c r="BB5" i="13"/>
  <c r="BC5" i="13"/>
  <c r="BB6" i="13"/>
  <c r="BC6" i="13"/>
  <c r="BB7" i="13"/>
  <c r="BC7" i="13"/>
  <c r="BC4" i="13"/>
  <c r="BB4" i="13"/>
  <c r="L7" i="13"/>
  <c r="L6" i="13"/>
  <c r="L5" i="13"/>
  <c r="L4" i="13"/>
  <c r="AU10" i="13"/>
  <c r="AU9" i="13"/>
  <c r="AU8" i="13"/>
  <c r="B63" i="2"/>
  <c r="AU7" i="13"/>
  <c r="P7" i="13"/>
  <c r="N7" i="13" s="1"/>
  <c r="P6" i="13"/>
  <c r="N6" i="13" s="1"/>
  <c r="B66" i="8" l="1"/>
  <c r="B76" i="2"/>
  <c r="B75" i="2"/>
  <c r="B66" i="2"/>
  <c r="BI7" i="13"/>
  <c r="BK7" i="13"/>
  <c r="BI11" i="13"/>
  <c r="BK11" i="13"/>
  <c r="BE11" i="13"/>
  <c r="BJ11" i="13"/>
  <c r="BI6" i="13"/>
  <c r="BK6" i="13"/>
  <c r="BI10" i="13"/>
  <c r="BK10" i="13"/>
  <c r="BE10" i="13"/>
  <c r="BJ10" i="13"/>
  <c r="BI9" i="13"/>
  <c r="BK9" i="13"/>
  <c r="BE9" i="13"/>
  <c r="BJ9" i="13"/>
  <c r="BK4" i="13"/>
  <c r="BI4" i="13"/>
  <c r="AY23" i="13" s="1"/>
  <c r="BJ8" i="13"/>
  <c r="B94" i="9" s="1"/>
  <c r="D79" i="1" s="1"/>
  <c r="BK8" i="13"/>
  <c r="B95" i="9" s="1"/>
  <c r="F79" i="1" s="1"/>
  <c r="BI8" i="13"/>
  <c r="B97" i="9" s="1"/>
  <c r="BE8" i="13"/>
  <c r="B96" i="9" s="1"/>
  <c r="BI5" i="13"/>
  <c r="BK5" i="13"/>
  <c r="BE7" i="13"/>
  <c r="BE6" i="13"/>
  <c r="BE4" i="13"/>
  <c r="BE5" i="13"/>
  <c r="B71" i="2"/>
  <c r="B70" i="2"/>
  <c r="B68" i="2"/>
  <c r="B123" i="22" s="1"/>
  <c r="B125" i="22" s="1"/>
  <c r="B130" i="22" s="1"/>
  <c r="B67" i="2"/>
  <c r="B72" i="2"/>
  <c r="B69" i="2"/>
  <c r="B64" i="2"/>
  <c r="B74" i="2"/>
  <c r="B73" i="2"/>
  <c r="B65" i="2"/>
  <c r="G5" i="13"/>
  <c r="B110" i="8" s="1"/>
  <c r="E110" i="8" s="1"/>
  <c r="G6" i="13"/>
  <c r="B118" i="8" s="1"/>
  <c r="E118" i="8" s="1"/>
  <c r="G7" i="13"/>
  <c r="B94" i="8" s="1"/>
  <c r="E94" i="8" s="1"/>
  <c r="G4" i="13"/>
  <c r="B102" i="8" s="1"/>
  <c r="E102" i="8" s="1"/>
  <c r="B70" i="16"/>
  <c r="B68" i="16"/>
  <c r="B67" i="16"/>
  <c r="B71" i="9"/>
  <c r="B69" i="9"/>
  <c r="B68" i="9"/>
  <c r="B66" i="9"/>
  <c r="B65" i="16"/>
  <c r="AY22" i="13" l="1"/>
  <c r="D81" i="1"/>
  <c r="D80" i="1"/>
  <c r="F81" i="1"/>
  <c r="F80" i="1"/>
  <c r="B74" i="8"/>
  <c r="B78" i="2"/>
  <c r="B79" i="2"/>
  <c r="B75" i="8"/>
  <c r="B65" i="8"/>
  <c r="B71" i="16"/>
  <c r="B82" i="26" s="1"/>
  <c r="B72" i="9"/>
  <c r="B85" i="23" s="1"/>
  <c r="CJ15" i="2"/>
  <c r="CJ23" i="2"/>
  <c r="CJ31" i="2"/>
  <c r="CJ39" i="2"/>
  <c r="CJ47" i="2"/>
  <c r="CJ5" i="2"/>
  <c r="CJ13" i="2"/>
  <c r="CJ26" i="2"/>
  <c r="CJ38" i="2"/>
  <c r="CJ16" i="2"/>
  <c r="CJ24" i="2"/>
  <c r="CJ32" i="2"/>
  <c r="CJ40" i="2"/>
  <c r="CJ48" i="2"/>
  <c r="CJ6" i="2"/>
  <c r="CJ14" i="2"/>
  <c r="CJ34" i="2"/>
  <c r="CJ46" i="2"/>
  <c r="CJ17" i="2"/>
  <c r="CJ25" i="2"/>
  <c r="CJ33" i="2"/>
  <c r="CJ41" i="2"/>
  <c r="CJ49" i="2"/>
  <c r="CJ7" i="2"/>
  <c r="CJ4" i="2"/>
  <c r="CJ18" i="2"/>
  <c r="CJ42" i="2"/>
  <c r="CJ50" i="2"/>
  <c r="CJ8" i="2"/>
  <c r="CJ22" i="2"/>
  <c r="CJ19" i="2"/>
  <c r="CJ27" i="2"/>
  <c r="CJ35" i="2"/>
  <c r="CJ43" i="2"/>
  <c r="CJ51" i="2"/>
  <c r="CJ9" i="2"/>
  <c r="CJ20" i="2"/>
  <c r="CJ28" i="2"/>
  <c r="CJ36" i="2"/>
  <c r="CJ44" i="2"/>
  <c r="CJ52" i="2"/>
  <c r="CJ10" i="2"/>
  <c r="CJ21" i="2"/>
  <c r="CJ29" i="2"/>
  <c r="CJ37" i="2"/>
  <c r="CJ45" i="2"/>
  <c r="CJ53" i="2"/>
  <c r="CJ11" i="2"/>
  <c r="CJ30" i="2"/>
  <c r="CJ54" i="2"/>
  <c r="CJ12" i="2"/>
  <c r="B69" i="16"/>
  <c r="B80" i="26" s="1"/>
  <c r="B70" i="9"/>
  <c r="B83" i="23" s="1"/>
  <c r="L28" i="15"/>
  <c r="L27" i="15"/>
  <c r="L26" i="15"/>
  <c r="L25" i="15"/>
  <c r="B61" i="2"/>
  <c r="B60" i="8"/>
  <c r="F77" i="1" l="1"/>
  <c r="F78" i="1"/>
  <c r="D77" i="1"/>
  <c r="D78" i="1"/>
  <c r="B41" i="2"/>
  <c r="B53" i="2"/>
  <c r="B51" i="2"/>
  <c r="B49" i="2"/>
  <c r="B47" i="2"/>
  <c r="B45" i="2"/>
  <c r="B43" i="2"/>
  <c r="B40" i="8"/>
  <c r="B42" i="8"/>
  <c r="B52" i="8"/>
  <c r="B50" i="8"/>
  <c r="B48" i="8"/>
  <c r="B46" i="8"/>
  <c r="B44" i="8"/>
  <c r="B48" i="16"/>
  <c r="B46" i="16"/>
  <c r="B44" i="16"/>
  <c r="B42" i="16"/>
  <c r="B50" i="16"/>
  <c r="B52" i="16"/>
  <c r="B54" i="16"/>
  <c r="B42" i="9"/>
  <c r="B54" i="9"/>
  <c r="B52" i="9"/>
  <c r="B50" i="9"/>
  <c r="B46" i="9"/>
  <c r="B48" i="9"/>
  <c r="B44" i="9"/>
  <c r="AR4" i="16"/>
  <c r="AQ4" i="16"/>
  <c r="AO4" i="16"/>
  <c r="B64" i="1"/>
  <c r="B23" i="26"/>
  <c r="B51" i="16"/>
  <c r="B152" i="26" s="1"/>
  <c r="B49" i="16"/>
  <c r="B149" i="26" s="1"/>
  <c r="B47" i="16"/>
  <c r="B146" i="26" s="1"/>
  <c r="B45" i="16"/>
  <c r="B143" i="26" s="1"/>
  <c r="B51" i="9"/>
  <c r="B151" i="23" s="1"/>
  <c r="B49" i="9"/>
  <c r="B148" i="23" s="1"/>
  <c r="B47" i="9"/>
  <c r="B145" i="23" s="1"/>
  <c r="B45" i="9"/>
  <c r="B142" i="23" s="1"/>
  <c r="H78" i="1" l="1"/>
  <c r="E78" i="1" s="1"/>
  <c r="H77" i="1"/>
  <c r="E77" i="1" s="1"/>
  <c r="H82" i="1"/>
  <c r="E82" i="1" s="1"/>
  <c r="H83" i="1"/>
  <c r="E83" i="1" s="1"/>
  <c r="H84" i="1"/>
  <c r="E84" i="1" s="1"/>
  <c r="H79" i="1"/>
  <c r="E79" i="1" s="1"/>
  <c r="H80" i="1"/>
  <c r="E80" i="1" s="1"/>
  <c r="H81" i="1"/>
  <c r="E81" i="1" s="1"/>
  <c r="B21" i="23"/>
  <c r="B22" i="26"/>
  <c r="B22" i="23"/>
  <c r="AD5" i="9"/>
  <c r="AF5" i="9"/>
  <c r="AH5" i="9"/>
  <c r="AJ5" i="9"/>
  <c r="AD6" i="9"/>
  <c r="AF6" i="9"/>
  <c r="AH6" i="9"/>
  <c r="AJ6" i="9"/>
  <c r="AD7" i="9"/>
  <c r="AF7" i="9"/>
  <c r="AH7" i="9"/>
  <c r="AJ7" i="9"/>
  <c r="AD8" i="9"/>
  <c r="AF8" i="9"/>
  <c r="AH8" i="9"/>
  <c r="AJ8" i="9"/>
  <c r="AD9" i="9"/>
  <c r="AF9" i="9"/>
  <c r="AH9" i="9"/>
  <c r="AJ9" i="9"/>
  <c r="AD10" i="9"/>
  <c r="AF10" i="9"/>
  <c r="AH10" i="9"/>
  <c r="AJ10" i="9"/>
  <c r="AD11" i="9"/>
  <c r="AF11" i="9"/>
  <c r="AH11" i="9"/>
  <c r="AJ11" i="9"/>
  <c r="AD12" i="9"/>
  <c r="AF12" i="9"/>
  <c r="AH12" i="9"/>
  <c r="AJ12" i="9"/>
  <c r="AD13" i="9"/>
  <c r="AF13" i="9"/>
  <c r="AH13" i="9"/>
  <c r="AJ13" i="9"/>
  <c r="AD14" i="9"/>
  <c r="AF14" i="9"/>
  <c r="AH14" i="9"/>
  <c r="AJ14" i="9"/>
  <c r="AD15" i="9"/>
  <c r="AF15" i="9"/>
  <c r="AH15" i="9"/>
  <c r="AJ15" i="9"/>
  <c r="AD16" i="9"/>
  <c r="AF16" i="9"/>
  <c r="AH16" i="9"/>
  <c r="AJ16" i="9"/>
  <c r="AD17" i="9"/>
  <c r="AF17" i="9"/>
  <c r="AH17" i="9"/>
  <c r="AJ17" i="9"/>
  <c r="AD18" i="9"/>
  <c r="AF18" i="9"/>
  <c r="AH18" i="9"/>
  <c r="AJ18" i="9"/>
  <c r="AD19" i="9"/>
  <c r="AF19" i="9"/>
  <c r="AH19" i="9"/>
  <c r="AJ19" i="9"/>
  <c r="AD20" i="9"/>
  <c r="AF20" i="9"/>
  <c r="AH20" i="9"/>
  <c r="AJ20" i="9"/>
  <c r="AD21" i="9"/>
  <c r="AF21" i="9"/>
  <c r="AH21" i="9"/>
  <c r="AJ21" i="9"/>
  <c r="AD22" i="9"/>
  <c r="AF22" i="9"/>
  <c r="AH22" i="9"/>
  <c r="AJ22" i="9"/>
  <c r="AD23" i="9"/>
  <c r="AF23" i="9"/>
  <c r="AH23" i="9"/>
  <c r="AJ23" i="9"/>
  <c r="AD24" i="9"/>
  <c r="AF24" i="9"/>
  <c r="AH24" i="9"/>
  <c r="AJ24" i="9"/>
  <c r="AD25" i="9"/>
  <c r="AF25" i="9"/>
  <c r="AH25" i="9"/>
  <c r="AJ25" i="9"/>
  <c r="AD26" i="9"/>
  <c r="AF26" i="9"/>
  <c r="AH26" i="9"/>
  <c r="AJ26" i="9"/>
  <c r="AD27" i="9"/>
  <c r="AF27" i="9"/>
  <c r="AH27" i="9"/>
  <c r="AJ27" i="9"/>
  <c r="AD28" i="9"/>
  <c r="AF28" i="9"/>
  <c r="AH28" i="9"/>
  <c r="AJ28" i="9"/>
  <c r="AD29" i="9"/>
  <c r="AF29" i="9"/>
  <c r="AH29" i="9"/>
  <c r="AJ29" i="9"/>
  <c r="AD30" i="9"/>
  <c r="AF30" i="9"/>
  <c r="AH30" i="9"/>
  <c r="AJ30" i="9"/>
  <c r="AD31" i="9"/>
  <c r="AF31" i="9"/>
  <c r="AH31" i="9"/>
  <c r="AJ31" i="9"/>
  <c r="AD32" i="9"/>
  <c r="AF32" i="9"/>
  <c r="AH32" i="9"/>
  <c r="AJ32" i="9"/>
  <c r="AD33" i="9"/>
  <c r="AF33" i="9"/>
  <c r="AH33" i="9"/>
  <c r="AJ33" i="9"/>
  <c r="AD34" i="9"/>
  <c r="AF34" i="9"/>
  <c r="AH34" i="9"/>
  <c r="AJ34" i="9"/>
  <c r="AD35" i="9"/>
  <c r="AF35" i="9"/>
  <c r="AH35" i="9"/>
  <c r="AJ35" i="9"/>
  <c r="AD36" i="9"/>
  <c r="AF36" i="9"/>
  <c r="AH36" i="9"/>
  <c r="AJ36" i="9"/>
  <c r="AD37" i="9"/>
  <c r="AF37" i="9"/>
  <c r="AH37" i="9"/>
  <c r="AJ37" i="9"/>
  <c r="AD38" i="9"/>
  <c r="AF38" i="9"/>
  <c r="AH38" i="9"/>
  <c r="AJ38" i="9"/>
  <c r="AD39" i="9"/>
  <c r="AF39" i="9"/>
  <c r="AH39" i="9"/>
  <c r="AJ39" i="9"/>
  <c r="AD40" i="9"/>
  <c r="AF40" i="9"/>
  <c r="AH40" i="9"/>
  <c r="AJ40" i="9"/>
  <c r="AD41" i="9"/>
  <c r="AF41" i="9"/>
  <c r="AH41" i="9"/>
  <c r="AJ41" i="9"/>
  <c r="AD42" i="9"/>
  <c r="AF42" i="9"/>
  <c r="AH42" i="9"/>
  <c r="AJ42" i="9"/>
  <c r="AD43" i="9"/>
  <c r="AF43" i="9"/>
  <c r="AH43" i="9"/>
  <c r="AJ43" i="9"/>
  <c r="AD44" i="9"/>
  <c r="AF44" i="9"/>
  <c r="AH44" i="9"/>
  <c r="AJ44" i="9"/>
  <c r="AD45" i="9"/>
  <c r="AF45" i="9"/>
  <c r="AH45" i="9"/>
  <c r="AJ45" i="9"/>
  <c r="AD46" i="9"/>
  <c r="AF46" i="9"/>
  <c r="AH46" i="9"/>
  <c r="AJ46" i="9"/>
  <c r="AD47" i="9"/>
  <c r="AF47" i="9"/>
  <c r="AH47" i="9"/>
  <c r="AJ47" i="9"/>
  <c r="AD48" i="9"/>
  <c r="AF48" i="9"/>
  <c r="AH48" i="9"/>
  <c r="AJ48" i="9"/>
  <c r="AD49" i="9"/>
  <c r="AF49" i="9"/>
  <c r="AH49" i="9"/>
  <c r="AJ49" i="9"/>
  <c r="AD50" i="9"/>
  <c r="AF50" i="9"/>
  <c r="AH50" i="9"/>
  <c r="AJ50" i="9"/>
  <c r="AD51" i="9"/>
  <c r="AF51" i="9"/>
  <c r="AH51" i="9"/>
  <c r="AJ51" i="9"/>
  <c r="AD52" i="9"/>
  <c r="AF52" i="9"/>
  <c r="AH52" i="9"/>
  <c r="AJ52" i="9"/>
  <c r="AD53" i="9"/>
  <c r="AF53" i="9"/>
  <c r="AH53" i="9"/>
  <c r="AJ53" i="9"/>
  <c r="AD54" i="9"/>
  <c r="AF54" i="9"/>
  <c r="AH54" i="9"/>
  <c r="AJ54" i="9"/>
  <c r="AC5" i="16"/>
  <c r="AD5" i="16"/>
  <c r="AE5" i="16"/>
  <c r="AF5" i="16"/>
  <c r="AG5" i="16"/>
  <c r="AH5" i="16"/>
  <c r="AI5" i="16"/>
  <c r="AJ5" i="16"/>
  <c r="AK5" i="16"/>
  <c r="AL5" i="16"/>
  <c r="AM5" i="16"/>
  <c r="AN5" i="16"/>
  <c r="AO5" i="16"/>
  <c r="AP5" i="16"/>
  <c r="AQ5" i="16"/>
  <c r="AR5" i="16"/>
  <c r="BL5" i="16"/>
  <c r="BM5" i="16"/>
  <c r="BN5" i="16"/>
  <c r="BO5" i="16"/>
  <c r="BP5" i="16"/>
  <c r="BQ5" i="16"/>
  <c r="BR5" i="16"/>
  <c r="BS5" i="16"/>
  <c r="AC6" i="16"/>
  <c r="AD6" i="16"/>
  <c r="AE6" i="16"/>
  <c r="AF6" i="16"/>
  <c r="AG6" i="16"/>
  <c r="AH6" i="16"/>
  <c r="AI6" i="16"/>
  <c r="AJ6" i="16"/>
  <c r="AK6" i="16"/>
  <c r="AL6" i="16"/>
  <c r="AM6" i="16"/>
  <c r="AN6" i="16"/>
  <c r="AO6" i="16"/>
  <c r="AP6" i="16"/>
  <c r="AQ6" i="16"/>
  <c r="AR6" i="16"/>
  <c r="BL6" i="16"/>
  <c r="BM6" i="16"/>
  <c r="BN6" i="16"/>
  <c r="BO6" i="16"/>
  <c r="BP6" i="16"/>
  <c r="BQ6" i="16"/>
  <c r="BR6" i="16"/>
  <c r="BS6" i="16"/>
  <c r="AC7" i="16"/>
  <c r="AD7" i="16"/>
  <c r="AE7" i="16"/>
  <c r="AF7" i="16"/>
  <c r="AG7" i="16"/>
  <c r="AH7" i="16"/>
  <c r="AI7" i="16"/>
  <c r="AJ7" i="16"/>
  <c r="AK7" i="16"/>
  <c r="AL7" i="16"/>
  <c r="AM7" i="16"/>
  <c r="AN7" i="16"/>
  <c r="AO7" i="16"/>
  <c r="AP7" i="16"/>
  <c r="AQ7" i="16"/>
  <c r="AR7" i="16"/>
  <c r="BL7" i="16"/>
  <c r="BM7" i="16"/>
  <c r="BN7" i="16"/>
  <c r="BO7" i="16"/>
  <c r="BP7" i="16"/>
  <c r="BQ7" i="16"/>
  <c r="BR7" i="16"/>
  <c r="BS7" i="16"/>
  <c r="AC8" i="16"/>
  <c r="AD8" i="16"/>
  <c r="AE8" i="16"/>
  <c r="AF8" i="16"/>
  <c r="AG8" i="16"/>
  <c r="AH8" i="16"/>
  <c r="AI8" i="16"/>
  <c r="AJ8" i="16"/>
  <c r="AK8" i="16"/>
  <c r="AL8" i="16"/>
  <c r="AM8" i="16"/>
  <c r="AN8" i="16"/>
  <c r="AO8" i="16"/>
  <c r="AP8" i="16"/>
  <c r="AQ8" i="16"/>
  <c r="AR8" i="16"/>
  <c r="BL8" i="16"/>
  <c r="BM8" i="16"/>
  <c r="BN8" i="16"/>
  <c r="BO8" i="16"/>
  <c r="BP8" i="16"/>
  <c r="BQ8" i="16"/>
  <c r="BR8" i="16"/>
  <c r="BS8" i="16"/>
  <c r="AC9" i="16"/>
  <c r="AD9" i="16"/>
  <c r="AE9" i="16"/>
  <c r="AF9" i="16"/>
  <c r="AG9" i="16"/>
  <c r="AH9" i="16"/>
  <c r="AI9" i="16"/>
  <c r="AJ9" i="16"/>
  <c r="AK9" i="16"/>
  <c r="AL9" i="16"/>
  <c r="AM9" i="16"/>
  <c r="AN9" i="16"/>
  <c r="AO9" i="16"/>
  <c r="AP9" i="16"/>
  <c r="AQ9" i="16"/>
  <c r="AR9" i="16"/>
  <c r="BL9" i="16"/>
  <c r="BM9" i="16"/>
  <c r="BN9" i="16"/>
  <c r="BO9" i="16"/>
  <c r="BP9" i="16"/>
  <c r="BQ9" i="16"/>
  <c r="BR9" i="16"/>
  <c r="BS9" i="16"/>
  <c r="AC10" i="16"/>
  <c r="AD10" i="16"/>
  <c r="AE10" i="16"/>
  <c r="AF10" i="16"/>
  <c r="AG10" i="16"/>
  <c r="AH10" i="16"/>
  <c r="AI10" i="16"/>
  <c r="AJ10" i="16"/>
  <c r="AK10" i="16"/>
  <c r="AL10" i="16"/>
  <c r="AM10" i="16"/>
  <c r="AN10" i="16"/>
  <c r="AO10" i="16"/>
  <c r="AP10" i="16"/>
  <c r="AQ10" i="16"/>
  <c r="AR10" i="16"/>
  <c r="BL10" i="16"/>
  <c r="BM10" i="16"/>
  <c r="BN10" i="16"/>
  <c r="BO10" i="16"/>
  <c r="BP10" i="16"/>
  <c r="BQ10" i="16"/>
  <c r="BR10" i="16"/>
  <c r="BS10" i="16"/>
  <c r="AC11" i="16"/>
  <c r="AD11" i="16"/>
  <c r="AE11" i="16"/>
  <c r="AF11" i="16"/>
  <c r="AG11" i="16"/>
  <c r="AH11" i="16"/>
  <c r="AI11" i="16"/>
  <c r="AJ11" i="16"/>
  <c r="AK11" i="16"/>
  <c r="AL11" i="16"/>
  <c r="AM11" i="16"/>
  <c r="AN11" i="16"/>
  <c r="AO11" i="16"/>
  <c r="AP11" i="16"/>
  <c r="AQ11" i="16"/>
  <c r="AR11" i="16"/>
  <c r="BL11" i="16"/>
  <c r="BM11" i="16"/>
  <c r="BN11" i="16"/>
  <c r="BO11" i="16"/>
  <c r="BP11" i="16"/>
  <c r="BQ11" i="16"/>
  <c r="BR11" i="16"/>
  <c r="BS11" i="16"/>
  <c r="AC12" i="16"/>
  <c r="AD12" i="16"/>
  <c r="AE12" i="16"/>
  <c r="AF12" i="16"/>
  <c r="AG12" i="16"/>
  <c r="AH12" i="16"/>
  <c r="AI12" i="16"/>
  <c r="AJ12" i="16"/>
  <c r="AK12" i="16"/>
  <c r="AL12" i="16"/>
  <c r="AM12" i="16"/>
  <c r="AN12" i="16"/>
  <c r="AO12" i="16"/>
  <c r="AP12" i="16"/>
  <c r="AQ12" i="16"/>
  <c r="AR12" i="16"/>
  <c r="BL12" i="16"/>
  <c r="BM12" i="16"/>
  <c r="BN12" i="16"/>
  <c r="BO12" i="16"/>
  <c r="BP12" i="16"/>
  <c r="BQ12" i="16"/>
  <c r="BR12" i="16"/>
  <c r="BS12" i="16"/>
  <c r="AC13" i="16"/>
  <c r="AD13" i="16"/>
  <c r="AE13" i="16"/>
  <c r="AF13" i="16"/>
  <c r="AG13" i="16"/>
  <c r="AH13" i="16"/>
  <c r="AI13" i="16"/>
  <c r="AJ13" i="16"/>
  <c r="AK13" i="16"/>
  <c r="AL13" i="16"/>
  <c r="AM13" i="16"/>
  <c r="AN13" i="16"/>
  <c r="AO13" i="16"/>
  <c r="AP13" i="16"/>
  <c r="AQ13" i="16"/>
  <c r="AR13" i="16"/>
  <c r="BL13" i="16"/>
  <c r="BM13" i="16"/>
  <c r="BN13" i="16"/>
  <c r="BO13" i="16"/>
  <c r="BP13" i="16"/>
  <c r="BQ13" i="16"/>
  <c r="BR13" i="16"/>
  <c r="BS13" i="16"/>
  <c r="AC14" i="16"/>
  <c r="AD14" i="16"/>
  <c r="AE14" i="16"/>
  <c r="AF14" i="16"/>
  <c r="AG14" i="16"/>
  <c r="AH14" i="16"/>
  <c r="AI14" i="16"/>
  <c r="AJ14" i="16"/>
  <c r="AK14" i="16"/>
  <c r="AL14" i="16"/>
  <c r="AM14" i="16"/>
  <c r="AN14" i="16"/>
  <c r="AO14" i="16"/>
  <c r="AP14" i="16"/>
  <c r="AQ14" i="16"/>
  <c r="AR14" i="16"/>
  <c r="BL14" i="16"/>
  <c r="BM14" i="16"/>
  <c r="BN14" i="16"/>
  <c r="BO14" i="16"/>
  <c r="BP14" i="16"/>
  <c r="BQ14" i="16"/>
  <c r="BR14" i="16"/>
  <c r="BS14" i="16"/>
  <c r="AC15" i="16"/>
  <c r="AD15" i="16"/>
  <c r="AE15" i="16"/>
  <c r="AF15" i="16"/>
  <c r="AG15" i="16"/>
  <c r="AH15" i="16"/>
  <c r="AI15" i="16"/>
  <c r="AJ15" i="16"/>
  <c r="AK15" i="16"/>
  <c r="AL15" i="16"/>
  <c r="AM15" i="16"/>
  <c r="AN15" i="16"/>
  <c r="AO15" i="16"/>
  <c r="AP15" i="16"/>
  <c r="AQ15" i="16"/>
  <c r="AR15" i="16"/>
  <c r="BL15" i="16"/>
  <c r="BM15" i="16"/>
  <c r="BN15" i="16"/>
  <c r="BO15" i="16"/>
  <c r="BP15" i="16"/>
  <c r="BQ15" i="16"/>
  <c r="BR15" i="16"/>
  <c r="BS15" i="16"/>
  <c r="AC16" i="16"/>
  <c r="AD16" i="16"/>
  <c r="AE16" i="16"/>
  <c r="AF16" i="16"/>
  <c r="AG16" i="16"/>
  <c r="AH16" i="16"/>
  <c r="AI16" i="16"/>
  <c r="AJ16" i="16"/>
  <c r="AK16" i="16"/>
  <c r="AL16" i="16"/>
  <c r="AM16" i="16"/>
  <c r="AN16" i="16"/>
  <c r="AO16" i="16"/>
  <c r="AP16" i="16"/>
  <c r="AQ16" i="16"/>
  <c r="AR16" i="16"/>
  <c r="BL16" i="16"/>
  <c r="BM16" i="16"/>
  <c r="BN16" i="16"/>
  <c r="BO16" i="16"/>
  <c r="BP16" i="16"/>
  <c r="BQ16" i="16"/>
  <c r="BR16" i="16"/>
  <c r="BS16" i="16"/>
  <c r="AC17" i="16"/>
  <c r="AD17" i="16"/>
  <c r="AE17" i="16"/>
  <c r="AF17" i="16"/>
  <c r="AG17" i="16"/>
  <c r="AH17" i="16"/>
  <c r="AI17" i="16"/>
  <c r="AJ17" i="16"/>
  <c r="AK17" i="16"/>
  <c r="AL17" i="16"/>
  <c r="AM17" i="16"/>
  <c r="AN17" i="16"/>
  <c r="AO17" i="16"/>
  <c r="AP17" i="16"/>
  <c r="AQ17" i="16"/>
  <c r="AR17" i="16"/>
  <c r="BL17" i="16"/>
  <c r="BM17" i="16"/>
  <c r="BN17" i="16"/>
  <c r="BO17" i="16"/>
  <c r="BP17" i="16"/>
  <c r="BQ17" i="16"/>
  <c r="BR17" i="16"/>
  <c r="BS17" i="16"/>
  <c r="AC18" i="16"/>
  <c r="AD18" i="16"/>
  <c r="AE18" i="16"/>
  <c r="AF18" i="16"/>
  <c r="AG18" i="16"/>
  <c r="AH18" i="16"/>
  <c r="AI18" i="16"/>
  <c r="AJ18" i="16"/>
  <c r="AK18" i="16"/>
  <c r="AL18" i="16"/>
  <c r="AM18" i="16"/>
  <c r="AN18" i="16"/>
  <c r="AO18" i="16"/>
  <c r="AP18" i="16"/>
  <c r="AQ18" i="16"/>
  <c r="AR18" i="16"/>
  <c r="BL18" i="16"/>
  <c r="BM18" i="16"/>
  <c r="BN18" i="16"/>
  <c r="BO18" i="16"/>
  <c r="BP18" i="16"/>
  <c r="BQ18" i="16"/>
  <c r="BR18" i="16"/>
  <c r="BS18" i="16"/>
  <c r="AC19" i="16"/>
  <c r="AD19" i="16"/>
  <c r="AE19" i="16"/>
  <c r="AF19" i="16"/>
  <c r="AG19" i="16"/>
  <c r="AH19" i="16"/>
  <c r="AI19" i="16"/>
  <c r="AJ19" i="16"/>
  <c r="AK19" i="16"/>
  <c r="AL19" i="16"/>
  <c r="AM19" i="16"/>
  <c r="AN19" i="16"/>
  <c r="AO19" i="16"/>
  <c r="AP19" i="16"/>
  <c r="AQ19" i="16"/>
  <c r="AR19" i="16"/>
  <c r="BL19" i="16"/>
  <c r="BM19" i="16"/>
  <c r="BN19" i="16"/>
  <c r="BO19" i="16"/>
  <c r="BP19" i="16"/>
  <c r="BQ19" i="16"/>
  <c r="BR19" i="16"/>
  <c r="BS19" i="16"/>
  <c r="AC20" i="16"/>
  <c r="AD20" i="16"/>
  <c r="AE20" i="16"/>
  <c r="AF20" i="16"/>
  <c r="AG20" i="16"/>
  <c r="AH20" i="16"/>
  <c r="AI20" i="16"/>
  <c r="AJ20" i="16"/>
  <c r="AK20" i="16"/>
  <c r="AL20" i="16"/>
  <c r="AM20" i="16"/>
  <c r="AN20" i="16"/>
  <c r="AO20" i="16"/>
  <c r="AP20" i="16"/>
  <c r="AQ20" i="16"/>
  <c r="AR20" i="16"/>
  <c r="BL20" i="16"/>
  <c r="BM20" i="16"/>
  <c r="BN20" i="16"/>
  <c r="BO20" i="16"/>
  <c r="BP20" i="16"/>
  <c r="BQ20" i="16"/>
  <c r="BR20" i="16"/>
  <c r="BS20" i="16"/>
  <c r="AC21" i="16"/>
  <c r="AD21" i="16"/>
  <c r="AE21" i="16"/>
  <c r="AF21" i="16"/>
  <c r="AG21" i="16"/>
  <c r="AH21" i="16"/>
  <c r="AI21" i="16"/>
  <c r="AJ21" i="16"/>
  <c r="AK21" i="16"/>
  <c r="AL21" i="16"/>
  <c r="AM21" i="16"/>
  <c r="AN21" i="16"/>
  <c r="AO21" i="16"/>
  <c r="AP21" i="16"/>
  <c r="AQ21" i="16"/>
  <c r="AR21" i="16"/>
  <c r="BL21" i="16"/>
  <c r="BM21" i="16"/>
  <c r="BN21" i="16"/>
  <c r="BO21" i="16"/>
  <c r="BP21" i="16"/>
  <c r="BQ21" i="16"/>
  <c r="BR21" i="16"/>
  <c r="BS21" i="16"/>
  <c r="AC22" i="16"/>
  <c r="AD22" i="16"/>
  <c r="AE22" i="16"/>
  <c r="AF22" i="16"/>
  <c r="AG22" i="16"/>
  <c r="AH22" i="16"/>
  <c r="AI22" i="16"/>
  <c r="AJ22" i="16"/>
  <c r="AK22" i="16"/>
  <c r="AL22" i="16"/>
  <c r="AM22" i="16"/>
  <c r="AN22" i="16"/>
  <c r="AO22" i="16"/>
  <c r="AP22" i="16"/>
  <c r="AQ22" i="16"/>
  <c r="AR22" i="16"/>
  <c r="BL22" i="16"/>
  <c r="BM22" i="16"/>
  <c r="BN22" i="16"/>
  <c r="BO22" i="16"/>
  <c r="BP22" i="16"/>
  <c r="BQ22" i="16"/>
  <c r="BR22" i="16"/>
  <c r="BS22" i="16"/>
  <c r="AC23" i="16"/>
  <c r="AD23" i="16"/>
  <c r="AE23" i="16"/>
  <c r="AF23" i="16"/>
  <c r="AG23" i="16"/>
  <c r="AH23" i="16"/>
  <c r="AI23" i="16"/>
  <c r="AJ23" i="16"/>
  <c r="AK23" i="16"/>
  <c r="AL23" i="16"/>
  <c r="AM23" i="16"/>
  <c r="AN23" i="16"/>
  <c r="AO23" i="16"/>
  <c r="AP23" i="16"/>
  <c r="AQ23" i="16"/>
  <c r="AR23" i="16"/>
  <c r="BL23" i="16"/>
  <c r="BM23" i="16"/>
  <c r="BN23" i="16"/>
  <c r="BO23" i="16"/>
  <c r="BP23" i="16"/>
  <c r="BQ23" i="16"/>
  <c r="BR23" i="16"/>
  <c r="BS23" i="16"/>
  <c r="AC24" i="16"/>
  <c r="AD24" i="16"/>
  <c r="AE24" i="16"/>
  <c r="AF24" i="16"/>
  <c r="AG24" i="16"/>
  <c r="AH24" i="16"/>
  <c r="AI24" i="16"/>
  <c r="AJ24" i="16"/>
  <c r="AK24" i="16"/>
  <c r="AL24" i="16"/>
  <c r="AM24" i="16"/>
  <c r="AN24" i="16"/>
  <c r="AO24" i="16"/>
  <c r="AP24" i="16"/>
  <c r="AQ24" i="16"/>
  <c r="AR24" i="16"/>
  <c r="BL24" i="16"/>
  <c r="BM24" i="16"/>
  <c r="BN24" i="16"/>
  <c r="BO24" i="16"/>
  <c r="BP24" i="16"/>
  <c r="BQ24" i="16"/>
  <c r="BR24" i="16"/>
  <c r="BS24" i="16"/>
  <c r="AC25" i="16"/>
  <c r="AD25" i="16"/>
  <c r="AE25" i="16"/>
  <c r="AF25" i="16"/>
  <c r="AG25" i="16"/>
  <c r="AH25" i="16"/>
  <c r="AI25" i="16"/>
  <c r="AJ25" i="16"/>
  <c r="AK25" i="16"/>
  <c r="AL25" i="16"/>
  <c r="AM25" i="16"/>
  <c r="AN25" i="16"/>
  <c r="AO25" i="16"/>
  <c r="AP25" i="16"/>
  <c r="AQ25" i="16"/>
  <c r="AR25" i="16"/>
  <c r="BL25" i="16"/>
  <c r="BM25" i="16"/>
  <c r="BN25" i="16"/>
  <c r="BO25" i="16"/>
  <c r="BP25" i="16"/>
  <c r="BQ25" i="16"/>
  <c r="BR25" i="16"/>
  <c r="BS25" i="16"/>
  <c r="AC26" i="16"/>
  <c r="AD26" i="16"/>
  <c r="AE26" i="16"/>
  <c r="AF26" i="16"/>
  <c r="AG26" i="16"/>
  <c r="AH26" i="16"/>
  <c r="AI26" i="16"/>
  <c r="AJ26" i="16"/>
  <c r="AK26" i="16"/>
  <c r="AL26" i="16"/>
  <c r="AM26" i="16"/>
  <c r="AN26" i="16"/>
  <c r="AO26" i="16"/>
  <c r="AP26" i="16"/>
  <c r="AQ26" i="16"/>
  <c r="AR26" i="16"/>
  <c r="BL26" i="16"/>
  <c r="BM26" i="16"/>
  <c r="BN26" i="16"/>
  <c r="BO26" i="16"/>
  <c r="BP26" i="16"/>
  <c r="BQ26" i="16"/>
  <c r="BR26" i="16"/>
  <c r="BS26" i="16"/>
  <c r="AC27" i="16"/>
  <c r="AD27" i="16"/>
  <c r="AE27" i="16"/>
  <c r="AF27" i="16"/>
  <c r="AG27" i="16"/>
  <c r="AH27" i="16"/>
  <c r="AI27" i="16"/>
  <c r="AJ27" i="16"/>
  <c r="AK27" i="16"/>
  <c r="AL27" i="16"/>
  <c r="AM27" i="16"/>
  <c r="AN27" i="16"/>
  <c r="AO27" i="16"/>
  <c r="AP27" i="16"/>
  <c r="AQ27" i="16"/>
  <c r="AR27" i="16"/>
  <c r="BL27" i="16"/>
  <c r="BM27" i="16"/>
  <c r="BN27" i="16"/>
  <c r="BO27" i="16"/>
  <c r="BP27" i="16"/>
  <c r="BQ27" i="16"/>
  <c r="BR27" i="16"/>
  <c r="BS27" i="16"/>
  <c r="AC28" i="16"/>
  <c r="AD28" i="16"/>
  <c r="AE28" i="16"/>
  <c r="AF28" i="16"/>
  <c r="AG28" i="16"/>
  <c r="AH28" i="16"/>
  <c r="AI28" i="16"/>
  <c r="AJ28" i="16"/>
  <c r="AK28" i="16"/>
  <c r="AL28" i="16"/>
  <c r="AM28" i="16"/>
  <c r="AN28" i="16"/>
  <c r="AO28" i="16"/>
  <c r="AP28" i="16"/>
  <c r="AQ28" i="16"/>
  <c r="AR28" i="16"/>
  <c r="BL28" i="16"/>
  <c r="BM28" i="16"/>
  <c r="BN28" i="16"/>
  <c r="BO28" i="16"/>
  <c r="BP28" i="16"/>
  <c r="BQ28" i="16"/>
  <c r="BR28" i="16"/>
  <c r="BS28" i="16"/>
  <c r="AC29" i="16"/>
  <c r="AD29" i="16"/>
  <c r="AE29" i="16"/>
  <c r="AF29" i="16"/>
  <c r="AG29" i="16"/>
  <c r="AH29" i="16"/>
  <c r="AI29" i="16"/>
  <c r="AJ29" i="16"/>
  <c r="AK29" i="16"/>
  <c r="AL29" i="16"/>
  <c r="AM29" i="16"/>
  <c r="AN29" i="16"/>
  <c r="AO29" i="16"/>
  <c r="AP29" i="16"/>
  <c r="AQ29" i="16"/>
  <c r="AR29" i="16"/>
  <c r="BL29" i="16"/>
  <c r="BM29" i="16"/>
  <c r="BN29" i="16"/>
  <c r="BO29" i="16"/>
  <c r="BP29" i="16"/>
  <c r="BQ29" i="16"/>
  <c r="BR29" i="16"/>
  <c r="BS29" i="16"/>
  <c r="AC30" i="16"/>
  <c r="AD30" i="16"/>
  <c r="AE30" i="16"/>
  <c r="AF30" i="16"/>
  <c r="AG30" i="16"/>
  <c r="AH30" i="16"/>
  <c r="AI30" i="16"/>
  <c r="AJ30" i="16"/>
  <c r="AK30" i="16"/>
  <c r="AL30" i="16"/>
  <c r="AM30" i="16"/>
  <c r="AN30" i="16"/>
  <c r="AO30" i="16"/>
  <c r="AP30" i="16"/>
  <c r="AQ30" i="16"/>
  <c r="AR30" i="16"/>
  <c r="BL30" i="16"/>
  <c r="BM30" i="16"/>
  <c r="BN30" i="16"/>
  <c r="BO30" i="16"/>
  <c r="BP30" i="16"/>
  <c r="BQ30" i="16"/>
  <c r="BR30" i="16"/>
  <c r="BS30" i="16"/>
  <c r="AC31" i="16"/>
  <c r="AD31" i="16"/>
  <c r="AE31" i="16"/>
  <c r="AF31" i="16"/>
  <c r="AG31" i="16"/>
  <c r="AH31" i="16"/>
  <c r="AI31" i="16"/>
  <c r="AJ31" i="16"/>
  <c r="AK31" i="16"/>
  <c r="AL31" i="16"/>
  <c r="AM31" i="16"/>
  <c r="AN31" i="16"/>
  <c r="AO31" i="16"/>
  <c r="AP31" i="16"/>
  <c r="AQ31" i="16"/>
  <c r="AR31" i="16"/>
  <c r="BL31" i="16"/>
  <c r="BM31" i="16"/>
  <c r="BN31" i="16"/>
  <c r="BO31" i="16"/>
  <c r="BP31" i="16"/>
  <c r="BQ31" i="16"/>
  <c r="BR31" i="16"/>
  <c r="BS31" i="16"/>
  <c r="AC32" i="16"/>
  <c r="AD32" i="16"/>
  <c r="AE32" i="16"/>
  <c r="AF32" i="16"/>
  <c r="AG32" i="16"/>
  <c r="AH32" i="16"/>
  <c r="AI32" i="16"/>
  <c r="AJ32" i="16"/>
  <c r="AK32" i="16"/>
  <c r="AL32" i="16"/>
  <c r="AM32" i="16"/>
  <c r="AN32" i="16"/>
  <c r="AO32" i="16"/>
  <c r="AP32" i="16"/>
  <c r="AQ32" i="16"/>
  <c r="AR32" i="16"/>
  <c r="BL32" i="16"/>
  <c r="BM32" i="16"/>
  <c r="BN32" i="16"/>
  <c r="BO32" i="16"/>
  <c r="BP32" i="16"/>
  <c r="BQ32" i="16"/>
  <c r="BR32" i="16"/>
  <c r="BS32" i="16"/>
  <c r="AC33" i="16"/>
  <c r="AD33" i="16"/>
  <c r="AE33" i="16"/>
  <c r="AF33" i="16"/>
  <c r="AG33" i="16"/>
  <c r="AH33" i="16"/>
  <c r="AI33" i="16"/>
  <c r="AJ33" i="16"/>
  <c r="AK33" i="16"/>
  <c r="AL33" i="16"/>
  <c r="AM33" i="16"/>
  <c r="AN33" i="16"/>
  <c r="AO33" i="16"/>
  <c r="AP33" i="16"/>
  <c r="AQ33" i="16"/>
  <c r="AR33" i="16"/>
  <c r="BL33" i="16"/>
  <c r="BM33" i="16"/>
  <c r="BN33" i="16"/>
  <c r="BO33" i="16"/>
  <c r="BP33" i="16"/>
  <c r="BQ33" i="16"/>
  <c r="BR33" i="16"/>
  <c r="BS33" i="16"/>
  <c r="AC34" i="16"/>
  <c r="AD34" i="16"/>
  <c r="AE34" i="16"/>
  <c r="AF34" i="16"/>
  <c r="AG34" i="16"/>
  <c r="AH34" i="16"/>
  <c r="AI34" i="16"/>
  <c r="AJ34" i="16"/>
  <c r="AK34" i="16"/>
  <c r="AL34" i="16"/>
  <c r="AM34" i="16"/>
  <c r="AN34" i="16"/>
  <c r="AO34" i="16"/>
  <c r="AP34" i="16"/>
  <c r="AQ34" i="16"/>
  <c r="AR34" i="16"/>
  <c r="BL34" i="16"/>
  <c r="BM34" i="16"/>
  <c r="BN34" i="16"/>
  <c r="BO34" i="16"/>
  <c r="BP34" i="16"/>
  <c r="BQ34" i="16"/>
  <c r="BR34" i="16"/>
  <c r="BS34" i="16"/>
  <c r="AC35" i="16"/>
  <c r="AD35" i="16"/>
  <c r="AE35" i="16"/>
  <c r="AF35" i="16"/>
  <c r="AG35" i="16"/>
  <c r="AH35" i="16"/>
  <c r="AI35" i="16"/>
  <c r="AJ35" i="16"/>
  <c r="AK35" i="16"/>
  <c r="AL35" i="16"/>
  <c r="AM35" i="16"/>
  <c r="AN35" i="16"/>
  <c r="AO35" i="16"/>
  <c r="AP35" i="16"/>
  <c r="AQ35" i="16"/>
  <c r="AR35" i="16"/>
  <c r="BL35" i="16"/>
  <c r="BM35" i="16"/>
  <c r="BN35" i="16"/>
  <c r="BO35" i="16"/>
  <c r="BP35" i="16"/>
  <c r="BQ35" i="16"/>
  <c r="BR35" i="16"/>
  <c r="BS35" i="16"/>
  <c r="AC36" i="16"/>
  <c r="AD36" i="16"/>
  <c r="AE36" i="16"/>
  <c r="AF36" i="16"/>
  <c r="AG36" i="16"/>
  <c r="AH36" i="16"/>
  <c r="AI36" i="16"/>
  <c r="AJ36" i="16"/>
  <c r="AK36" i="16"/>
  <c r="AL36" i="16"/>
  <c r="AM36" i="16"/>
  <c r="AN36" i="16"/>
  <c r="AO36" i="16"/>
  <c r="AP36" i="16"/>
  <c r="AQ36" i="16"/>
  <c r="AR36" i="16"/>
  <c r="BL36" i="16"/>
  <c r="BM36" i="16"/>
  <c r="BN36" i="16"/>
  <c r="BO36" i="16"/>
  <c r="BP36" i="16"/>
  <c r="BQ36" i="16"/>
  <c r="BR36" i="16"/>
  <c r="BS36" i="16"/>
  <c r="AC37" i="16"/>
  <c r="AD37" i="16"/>
  <c r="AE37" i="16"/>
  <c r="AF37" i="16"/>
  <c r="AG37" i="16"/>
  <c r="AH37" i="16"/>
  <c r="AI37" i="16"/>
  <c r="AJ37" i="16"/>
  <c r="AK37" i="16"/>
  <c r="AL37" i="16"/>
  <c r="AM37" i="16"/>
  <c r="AN37" i="16"/>
  <c r="AO37" i="16"/>
  <c r="AP37" i="16"/>
  <c r="AQ37" i="16"/>
  <c r="AR37" i="16"/>
  <c r="BL37" i="16"/>
  <c r="BM37" i="16"/>
  <c r="BN37" i="16"/>
  <c r="BO37" i="16"/>
  <c r="BP37" i="16"/>
  <c r="BQ37" i="16"/>
  <c r="BR37" i="16"/>
  <c r="BS37" i="16"/>
  <c r="AC38" i="16"/>
  <c r="AD38" i="16"/>
  <c r="AE38" i="16"/>
  <c r="AF38" i="16"/>
  <c r="AG38" i="16"/>
  <c r="AH38" i="16"/>
  <c r="AI38" i="16"/>
  <c r="AJ38" i="16"/>
  <c r="AK38" i="16"/>
  <c r="AL38" i="16"/>
  <c r="AM38" i="16"/>
  <c r="AN38" i="16"/>
  <c r="AO38" i="16"/>
  <c r="AP38" i="16"/>
  <c r="AQ38" i="16"/>
  <c r="AR38" i="16"/>
  <c r="BL38" i="16"/>
  <c r="BM38" i="16"/>
  <c r="BN38" i="16"/>
  <c r="BO38" i="16"/>
  <c r="BP38" i="16"/>
  <c r="BQ38" i="16"/>
  <c r="BR38" i="16"/>
  <c r="BS38" i="16"/>
  <c r="AC39" i="16"/>
  <c r="AD39" i="16"/>
  <c r="AE39" i="16"/>
  <c r="AF39" i="16"/>
  <c r="AG39" i="16"/>
  <c r="AH39" i="16"/>
  <c r="AI39" i="16"/>
  <c r="AJ39" i="16"/>
  <c r="AK39" i="16"/>
  <c r="AL39" i="16"/>
  <c r="AM39" i="16"/>
  <c r="AN39" i="16"/>
  <c r="AO39" i="16"/>
  <c r="AP39" i="16"/>
  <c r="AQ39" i="16"/>
  <c r="AR39" i="16"/>
  <c r="BL39" i="16"/>
  <c r="BM39" i="16"/>
  <c r="BN39" i="16"/>
  <c r="BO39" i="16"/>
  <c r="BP39" i="16"/>
  <c r="BQ39" i="16"/>
  <c r="BR39" i="16"/>
  <c r="BS39" i="16"/>
  <c r="AC40" i="16"/>
  <c r="AD40" i="16"/>
  <c r="AE40" i="16"/>
  <c r="AF40" i="16"/>
  <c r="AG40" i="16"/>
  <c r="AH40" i="16"/>
  <c r="AI40" i="16"/>
  <c r="AJ40" i="16"/>
  <c r="AK40" i="16"/>
  <c r="AL40" i="16"/>
  <c r="AM40" i="16"/>
  <c r="AN40" i="16"/>
  <c r="AO40" i="16"/>
  <c r="AP40" i="16"/>
  <c r="AQ40" i="16"/>
  <c r="AR40" i="16"/>
  <c r="BL40" i="16"/>
  <c r="BM40" i="16"/>
  <c r="BN40" i="16"/>
  <c r="BO40" i="16"/>
  <c r="BP40" i="16"/>
  <c r="BQ40" i="16"/>
  <c r="BR40" i="16"/>
  <c r="BS40" i="16"/>
  <c r="AC41" i="16"/>
  <c r="AD41" i="16"/>
  <c r="AE41" i="16"/>
  <c r="AF41" i="16"/>
  <c r="AG41" i="16"/>
  <c r="AH41" i="16"/>
  <c r="AI41" i="16"/>
  <c r="AJ41" i="16"/>
  <c r="AK41" i="16"/>
  <c r="AL41" i="16"/>
  <c r="AM41" i="16"/>
  <c r="AN41" i="16"/>
  <c r="AO41" i="16"/>
  <c r="AP41" i="16"/>
  <c r="AQ41" i="16"/>
  <c r="AR41" i="16"/>
  <c r="BL41" i="16"/>
  <c r="BM41" i="16"/>
  <c r="BN41" i="16"/>
  <c r="BO41" i="16"/>
  <c r="BP41" i="16"/>
  <c r="BQ41" i="16"/>
  <c r="BR41" i="16"/>
  <c r="BS41" i="16"/>
  <c r="AC42" i="16"/>
  <c r="AD42" i="16"/>
  <c r="AE42" i="16"/>
  <c r="AF42" i="16"/>
  <c r="AG42" i="16"/>
  <c r="AH42" i="16"/>
  <c r="AI42" i="16"/>
  <c r="AJ42" i="16"/>
  <c r="AK42" i="16"/>
  <c r="AL42" i="16"/>
  <c r="AM42" i="16"/>
  <c r="AN42" i="16"/>
  <c r="AO42" i="16"/>
  <c r="AP42" i="16"/>
  <c r="AQ42" i="16"/>
  <c r="AR42" i="16"/>
  <c r="BL42" i="16"/>
  <c r="BM42" i="16"/>
  <c r="BN42" i="16"/>
  <c r="BO42" i="16"/>
  <c r="BP42" i="16"/>
  <c r="BQ42" i="16"/>
  <c r="BR42" i="16"/>
  <c r="BS42" i="16"/>
  <c r="AC43" i="16"/>
  <c r="AD43" i="16"/>
  <c r="AE43" i="16"/>
  <c r="AF43" i="16"/>
  <c r="AG43" i="16"/>
  <c r="AH43" i="16"/>
  <c r="AI43" i="16"/>
  <c r="AJ43" i="16"/>
  <c r="AK43" i="16"/>
  <c r="AL43" i="16"/>
  <c r="AM43" i="16"/>
  <c r="AN43" i="16"/>
  <c r="AO43" i="16"/>
  <c r="AP43" i="16"/>
  <c r="AQ43" i="16"/>
  <c r="AR43" i="16"/>
  <c r="BL43" i="16"/>
  <c r="BM43" i="16"/>
  <c r="BN43" i="16"/>
  <c r="BO43" i="16"/>
  <c r="BP43" i="16"/>
  <c r="BQ43" i="16"/>
  <c r="BR43" i="16"/>
  <c r="BS43" i="16"/>
  <c r="AC44" i="16"/>
  <c r="AD44" i="16"/>
  <c r="AE44" i="16"/>
  <c r="AF44" i="16"/>
  <c r="AG44" i="16"/>
  <c r="AH44" i="16"/>
  <c r="AI44" i="16"/>
  <c r="AJ44" i="16"/>
  <c r="AK44" i="16"/>
  <c r="AL44" i="16"/>
  <c r="AM44" i="16"/>
  <c r="AN44" i="16"/>
  <c r="AO44" i="16"/>
  <c r="AP44" i="16"/>
  <c r="AQ44" i="16"/>
  <c r="AR44" i="16"/>
  <c r="BL44" i="16"/>
  <c r="BM44" i="16"/>
  <c r="BN44" i="16"/>
  <c r="BO44" i="16"/>
  <c r="BP44" i="16"/>
  <c r="BQ44" i="16"/>
  <c r="BR44" i="16"/>
  <c r="BS44" i="16"/>
  <c r="AC45" i="16"/>
  <c r="AD45" i="16"/>
  <c r="AE45" i="16"/>
  <c r="AF45" i="16"/>
  <c r="AG45" i="16"/>
  <c r="AH45" i="16"/>
  <c r="AI45" i="16"/>
  <c r="AJ45" i="16"/>
  <c r="AK45" i="16"/>
  <c r="AL45" i="16"/>
  <c r="AM45" i="16"/>
  <c r="AN45" i="16"/>
  <c r="AO45" i="16"/>
  <c r="AP45" i="16"/>
  <c r="AQ45" i="16"/>
  <c r="AR45" i="16"/>
  <c r="BL45" i="16"/>
  <c r="BM45" i="16"/>
  <c r="BN45" i="16"/>
  <c r="BO45" i="16"/>
  <c r="BP45" i="16"/>
  <c r="BQ45" i="16"/>
  <c r="BR45" i="16"/>
  <c r="BS45" i="16"/>
  <c r="AC46" i="16"/>
  <c r="AD46" i="16"/>
  <c r="AE46" i="16"/>
  <c r="AF46" i="16"/>
  <c r="AG46" i="16"/>
  <c r="AH46" i="16"/>
  <c r="AI46" i="16"/>
  <c r="AJ46" i="16"/>
  <c r="AK46" i="16"/>
  <c r="AL46" i="16"/>
  <c r="AM46" i="16"/>
  <c r="AN46" i="16"/>
  <c r="AO46" i="16"/>
  <c r="AP46" i="16"/>
  <c r="AQ46" i="16"/>
  <c r="AR46" i="16"/>
  <c r="BL46" i="16"/>
  <c r="BM46" i="16"/>
  <c r="BN46" i="16"/>
  <c r="BO46" i="16"/>
  <c r="BP46" i="16"/>
  <c r="BQ46" i="16"/>
  <c r="BR46" i="16"/>
  <c r="BS46" i="16"/>
  <c r="AC47" i="16"/>
  <c r="AD47" i="16"/>
  <c r="AE47" i="16"/>
  <c r="AF47" i="16"/>
  <c r="AG47" i="16"/>
  <c r="AH47" i="16"/>
  <c r="AI47" i="16"/>
  <c r="AJ47" i="16"/>
  <c r="AK47" i="16"/>
  <c r="AL47" i="16"/>
  <c r="AM47" i="16"/>
  <c r="AN47" i="16"/>
  <c r="AO47" i="16"/>
  <c r="AP47" i="16"/>
  <c r="AQ47" i="16"/>
  <c r="AR47" i="16"/>
  <c r="BL47" i="16"/>
  <c r="BM47" i="16"/>
  <c r="BN47" i="16"/>
  <c r="BO47" i="16"/>
  <c r="BP47" i="16"/>
  <c r="BQ47" i="16"/>
  <c r="BR47" i="16"/>
  <c r="BS47" i="16"/>
  <c r="AC48" i="16"/>
  <c r="AD48" i="16"/>
  <c r="AE48" i="16"/>
  <c r="AF48" i="16"/>
  <c r="AG48" i="16"/>
  <c r="AH48" i="16"/>
  <c r="AI48" i="16"/>
  <c r="AJ48" i="16"/>
  <c r="AK48" i="16"/>
  <c r="AL48" i="16"/>
  <c r="AM48" i="16"/>
  <c r="AN48" i="16"/>
  <c r="AO48" i="16"/>
  <c r="AP48" i="16"/>
  <c r="AQ48" i="16"/>
  <c r="AR48" i="16"/>
  <c r="BL48" i="16"/>
  <c r="BM48" i="16"/>
  <c r="BN48" i="16"/>
  <c r="BO48" i="16"/>
  <c r="BP48" i="16"/>
  <c r="BQ48" i="16"/>
  <c r="BR48" i="16"/>
  <c r="BS48" i="16"/>
  <c r="AC49" i="16"/>
  <c r="AD49" i="16"/>
  <c r="AE49" i="16"/>
  <c r="AF49" i="16"/>
  <c r="AG49" i="16"/>
  <c r="AH49" i="16"/>
  <c r="AI49" i="16"/>
  <c r="AJ49" i="16"/>
  <c r="AK49" i="16"/>
  <c r="AL49" i="16"/>
  <c r="AM49" i="16"/>
  <c r="AN49" i="16"/>
  <c r="AO49" i="16"/>
  <c r="AP49" i="16"/>
  <c r="AQ49" i="16"/>
  <c r="AR49" i="16"/>
  <c r="BL49" i="16"/>
  <c r="BM49" i="16"/>
  <c r="BN49" i="16"/>
  <c r="BO49" i="16"/>
  <c r="BP49" i="16"/>
  <c r="BQ49" i="16"/>
  <c r="BR49" i="16"/>
  <c r="BS49" i="16"/>
  <c r="AC50" i="16"/>
  <c r="AD50" i="16"/>
  <c r="AE50" i="16"/>
  <c r="AF50" i="16"/>
  <c r="AG50" i="16"/>
  <c r="AH50" i="16"/>
  <c r="AI50" i="16"/>
  <c r="AJ50" i="16"/>
  <c r="AK50" i="16"/>
  <c r="AL50" i="16"/>
  <c r="AM50" i="16"/>
  <c r="AN50" i="16"/>
  <c r="AO50" i="16"/>
  <c r="AP50" i="16"/>
  <c r="AQ50" i="16"/>
  <c r="AR50" i="16"/>
  <c r="BL50" i="16"/>
  <c r="BM50" i="16"/>
  <c r="BN50" i="16"/>
  <c r="BO50" i="16"/>
  <c r="BP50" i="16"/>
  <c r="BQ50" i="16"/>
  <c r="BR50" i="16"/>
  <c r="BS50" i="16"/>
  <c r="AC51" i="16"/>
  <c r="AD51" i="16"/>
  <c r="AE51" i="16"/>
  <c r="AF51" i="16"/>
  <c r="AG51" i="16"/>
  <c r="AH51" i="16"/>
  <c r="AI51" i="16"/>
  <c r="AJ51" i="16"/>
  <c r="AK51" i="16"/>
  <c r="AL51" i="16"/>
  <c r="AM51" i="16"/>
  <c r="AN51" i="16"/>
  <c r="AO51" i="16"/>
  <c r="AP51" i="16"/>
  <c r="AQ51" i="16"/>
  <c r="AR51" i="16"/>
  <c r="BL51" i="16"/>
  <c r="BM51" i="16"/>
  <c r="BN51" i="16"/>
  <c r="BO51" i="16"/>
  <c r="BP51" i="16"/>
  <c r="BQ51" i="16"/>
  <c r="BR51" i="16"/>
  <c r="BS51" i="16"/>
  <c r="AC52" i="16"/>
  <c r="AD52" i="16"/>
  <c r="AE52" i="16"/>
  <c r="AF52" i="16"/>
  <c r="AG52" i="16"/>
  <c r="AH52" i="16"/>
  <c r="AI52" i="16"/>
  <c r="AJ52" i="16"/>
  <c r="AK52" i="16"/>
  <c r="AL52" i="16"/>
  <c r="AM52" i="16"/>
  <c r="AN52" i="16"/>
  <c r="AO52" i="16"/>
  <c r="AP52" i="16"/>
  <c r="AQ52" i="16"/>
  <c r="AR52" i="16"/>
  <c r="BL52" i="16"/>
  <c r="BM52" i="16"/>
  <c r="BN52" i="16"/>
  <c r="BO52" i="16"/>
  <c r="BP52" i="16"/>
  <c r="BQ52" i="16"/>
  <c r="BR52" i="16"/>
  <c r="BS52" i="16"/>
  <c r="AC53" i="16"/>
  <c r="AD53" i="16"/>
  <c r="AE53" i="16"/>
  <c r="AF53" i="16"/>
  <c r="AG53" i="16"/>
  <c r="AH53" i="16"/>
  <c r="AI53" i="16"/>
  <c r="AJ53" i="16"/>
  <c r="AK53" i="16"/>
  <c r="AL53" i="16"/>
  <c r="AM53" i="16"/>
  <c r="AN53" i="16"/>
  <c r="AO53" i="16"/>
  <c r="AP53" i="16"/>
  <c r="AQ53" i="16"/>
  <c r="AR53" i="16"/>
  <c r="BL53" i="16"/>
  <c r="BM53" i="16"/>
  <c r="BN53" i="16"/>
  <c r="BO53" i="16"/>
  <c r="BP53" i="16"/>
  <c r="BQ53" i="16"/>
  <c r="BR53" i="16"/>
  <c r="BS53" i="16"/>
  <c r="AC54" i="16"/>
  <c r="AD54" i="16"/>
  <c r="AE54" i="16"/>
  <c r="AF54" i="16"/>
  <c r="AG54" i="16"/>
  <c r="AH54" i="16"/>
  <c r="AI54" i="16"/>
  <c r="AJ54" i="16"/>
  <c r="AK54" i="16"/>
  <c r="AL54" i="16"/>
  <c r="AM54" i="16"/>
  <c r="AN54" i="16"/>
  <c r="AO54" i="16"/>
  <c r="AP54" i="16"/>
  <c r="AQ54" i="16"/>
  <c r="AR54" i="16"/>
  <c r="BL54" i="16"/>
  <c r="BM54" i="16"/>
  <c r="BN54" i="16"/>
  <c r="BO54" i="16"/>
  <c r="BP54" i="16"/>
  <c r="BQ54" i="16"/>
  <c r="BR54" i="16"/>
  <c r="BS54" i="16"/>
  <c r="BS4" i="16"/>
  <c r="BR4" i="16"/>
  <c r="BQ4" i="16"/>
  <c r="BP4" i="16"/>
  <c r="BO4" i="16"/>
  <c r="BN4" i="16"/>
  <c r="BM4" i="16"/>
  <c r="BL4" i="16"/>
  <c r="AP4" i="16"/>
  <c r="AL4" i="16"/>
  <c r="AK4" i="16"/>
  <c r="AH4" i="16"/>
  <c r="AG4" i="16"/>
  <c r="AD4" i="16"/>
  <c r="AC4" i="16"/>
  <c r="B23" i="9" l="1"/>
  <c r="AT39" i="16" s="1"/>
  <c r="AS39" i="16" s="1"/>
  <c r="AU39" i="16" s="1"/>
  <c r="AV39" i="16" s="1"/>
  <c r="B23" i="16"/>
  <c r="B5" i="2"/>
  <c r="B5" i="8"/>
  <c r="AT18" i="16" l="1"/>
  <c r="AS18" i="16" s="1"/>
  <c r="AU18" i="16" s="1"/>
  <c r="AV18" i="16" s="1"/>
  <c r="AT31" i="16"/>
  <c r="AS31" i="16" s="1"/>
  <c r="AU31" i="16" s="1"/>
  <c r="AV31" i="16" s="1"/>
  <c r="AT5" i="16"/>
  <c r="AS5" i="16" s="1"/>
  <c r="AU5" i="16" s="1"/>
  <c r="AV5" i="16" s="1"/>
  <c r="AT17" i="16"/>
  <c r="AS17" i="16" s="1"/>
  <c r="AU17" i="16" s="1"/>
  <c r="AV17" i="16" s="1"/>
  <c r="AT29" i="16"/>
  <c r="AS29" i="16" s="1"/>
  <c r="AU29" i="16" s="1"/>
  <c r="AV29" i="16" s="1"/>
  <c r="AT10" i="16"/>
  <c r="AS10" i="16" s="1"/>
  <c r="AU10" i="16" s="1"/>
  <c r="AV10" i="16" s="1"/>
  <c r="AT40" i="16"/>
  <c r="AS40" i="16" s="1"/>
  <c r="AU40" i="16" s="1"/>
  <c r="AV40" i="16" s="1"/>
  <c r="AT37" i="16"/>
  <c r="AS37" i="16" s="1"/>
  <c r="AU37" i="16" s="1"/>
  <c r="AV37" i="16" s="1"/>
  <c r="AT53" i="16"/>
  <c r="AS53" i="16" s="1"/>
  <c r="AU53" i="16" s="1"/>
  <c r="AV53" i="16" s="1"/>
  <c r="AT19" i="16"/>
  <c r="AS19" i="16" s="1"/>
  <c r="AU19" i="16" s="1"/>
  <c r="AV19" i="16" s="1"/>
  <c r="AT7" i="16"/>
  <c r="AS7" i="16" s="1"/>
  <c r="AU7" i="16" s="1"/>
  <c r="AV7" i="16" s="1"/>
  <c r="AT48" i="16"/>
  <c r="AS48" i="16" s="1"/>
  <c r="AU48" i="16" s="1"/>
  <c r="AV48" i="16" s="1"/>
  <c r="AT12" i="16"/>
  <c r="AS12" i="16" s="1"/>
  <c r="AU12" i="16" s="1"/>
  <c r="AV12" i="16" s="1"/>
  <c r="AT49" i="16"/>
  <c r="AS49" i="16" s="1"/>
  <c r="AU49" i="16" s="1"/>
  <c r="AV49" i="16" s="1"/>
  <c r="AT42" i="16"/>
  <c r="AS42" i="16" s="1"/>
  <c r="AU42" i="16" s="1"/>
  <c r="AV42" i="16" s="1"/>
  <c r="AT6" i="16"/>
  <c r="AS6" i="16" s="1"/>
  <c r="AU6" i="16" s="1"/>
  <c r="AV6" i="16" s="1"/>
  <c r="AT25" i="16"/>
  <c r="AS25" i="16" s="1"/>
  <c r="AU25" i="16" s="1"/>
  <c r="AV25" i="16" s="1"/>
  <c r="AT22" i="16"/>
  <c r="AS22" i="16" s="1"/>
  <c r="AU22" i="16" s="1"/>
  <c r="AV22" i="16" s="1"/>
  <c r="AT16" i="16"/>
  <c r="AS16" i="16" s="1"/>
  <c r="AU16" i="16" s="1"/>
  <c r="AV16" i="16" s="1"/>
  <c r="AT21" i="16"/>
  <c r="AS21" i="16" s="1"/>
  <c r="AU21" i="16" s="1"/>
  <c r="AV21" i="16" s="1"/>
  <c r="B106" i="3"/>
  <c r="AT23" i="16"/>
  <c r="AS23" i="16" s="1"/>
  <c r="AU23" i="16" s="1"/>
  <c r="AV23" i="16" s="1"/>
  <c r="AT11" i="16"/>
  <c r="AS11" i="16" s="1"/>
  <c r="AU11" i="16" s="1"/>
  <c r="AV11" i="16" s="1"/>
  <c r="AT36" i="16"/>
  <c r="AS36" i="16" s="1"/>
  <c r="AU36" i="16" s="1"/>
  <c r="AV36" i="16" s="1"/>
  <c r="AT41" i="16"/>
  <c r="AS41" i="16" s="1"/>
  <c r="AU41" i="16" s="1"/>
  <c r="AV41" i="16" s="1"/>
  <c r="AT54" i="16"/>
  <c r="AS54" i="16" s="1"/>
  <c r="AU54" i="16" s="1"/>
  <c r="AV54" i="16" s="1"/>
  <c r="AT35" i="16"/>
  <c r="AS35" i="16" s="1"/>
  <c r="AU35" i="16" s="1"/>
  <c r="AV35" i="16" s="1"/>
  <c r="AT34" i="16"/>
  <c r="AS34" i="16" s="1"/>
  <c r="AU34" i="16" s="1"/>
  <c r="AV34" i="16" s="1"/>
  <c r="AT28" i="16"/>
  <c r="AS28" i="16" s="1"/>
  <c r="AU28" i="16" s="1"/>
  <c r="AV28" i="16" s="1"/>
  <c r="AT45" i="16"/>
  <c r="AS45" i="16" s="1"/>
  <c r="AU45" i="16" s="1"/>
  <c r="AV45" i="16" s="1"/>
  <c r="AT32" i="16"/>
  <c r="AS32" i="16" s="1"/>
  <c r="AU32" i="16" s="1"/>
  <c r="AV32" i="16" s="1"/>
  <c r="B143" i="3"/>
  <c r="AT52" i="16"/>
  <c r="AS52" i="16" s="1"/>
  <c r="AU52" i="16" s="1"/>
  <c r="AV52" i="16" s="1"/>
  <c r="AT38" i="16"/>
  <c r="AS38" i="16" s="1"/>
  <c r="AU38" i="16" s="1"/>
  <c r="AV38" i="16" s="1"/>
  <c r="AT4" i="16"/>
  <c r="AS4" i="16" s="1"/>
  <c r="AU4" i="16" s="1"/>
  <c r="AV4" i="16" s="1"/>
  <c r="B62" i="16"/>
  <c r="B134" i="26" s="1"/>
  <c r="AT27" i="16"/>
  <c r="AS27" i="16" s="1"/>
  <c r="AU27" i="16" s="1"/>
  <c r="AV27" i="16" s="1"/>
  <c r="AT24" i="16"/>
  <c r="AS24" i="16" s="1"/>
  <c r="AU24" i="16" s="1"/>
  <c r="AV24" i="16" s="1"/>
  <c r="AT33" i="16"/>
  <c r="AS33" i="16" s="1"/>
  <c r="AU33" i="16" s="1"/>
  <c r="AV33" i="16" s="1"/>
  <c r="AT20" i="16"/>
  <c r="AS20" i="16" s="1"/>
  <c r="AU20" i="16" s="1"/>
  <c r="AV20" i="16" s="1"/>
  <c r="B62" i="9"/>
  <c r="B132" i="23" s="1"/>
  <c r="AT51" i="16"/>
  <c r="AS51" i="16" s="1"/>
  <c r="AU51" i="16" s="1"/>
  <c r="AV51" i="16" s="1"/>
  <c r="AT44" i="16"/>
  <c r="AS44" i="16" s="1"/>
  <c r="AU44" i="16" s="1"/>
  <c r="AV44" i="16" s="1"/>
  <c r="AT15" i="16"/>
  <c r="AS15" i="16" s="1"/>
  <c r="AU15" i="16" s="1"/>
  <c r="AV15" i="16" s="1"/>
  <c r="AT50" i="16"/>
  <c r="AS50" i="16" s="1"/>
  <c r="AU50" i="16" s="1"/>
  <c r="AV50" i="16" s="1"/>
  <c r="AT13" i="16"/>
  <c r="AS13" i="16" s="1"/>
  <c r="AU13" i="16" s="1"/>
  <c r="AV13" i="16" s="1"/>
  <c r="AT26" i="16"/>
  <c r="AS26" i="16" s="1"/>
  <c r="AU26" i="16" s="1"/>
  <c r="AV26" i="16" s="1"/>
  <c r="AT43" i="16"/>
  <c r="AS43" i="16" s="1"/>
  <c r="AU43" i="16" s="1"/>
  <c r="AV43" i="16" s="1"/>
  <c r="AT14" i="16"/>
  <c r="AS14" i="16" s="1"/>
  <c r="AU14" i="16" s="1"/>
  <c r="AV14" i="16" s="1"/>
  <c r="AT8" i="16"/>
  <c r="AS8" i="16" s="1"/>
  <c r="AU8" i="16" s="1"/>
  <c r="AV8" i="16" s="1"/>
  <c r="AT47" i="16"/>
  <c r="AS47" i="16" s="1"/>
  <c r="AU47" i="16" s="1"/>
  <c r="AV47" i="16" s="1"/>
  <c r="AT46" i="16"/>
  <c r="AS46" i="16" s="1"/>
  <c r="AU46" i="16" s="1"/>
  <c r="AV46" i="16" s="1"/>
  <c r="AT9" i="16"/>
  <c r="AS9" i="16" s="1"/>
  <c r="AU9" i="16" s="1"/>
  <c r="AV9" i="16" s="1"/>
  <c r="AT30" i="16"/>
  <c r="AS30" i="16" s="1"/>
  <c r="AU30" i="16" s="1"/>
  <c r="AV30" i="16" s="1"/>
  <c r="B26" i="16"/>
  <c r="AN4" i="16"/>
  <c r="AM4" i="16"/>
  <c r="AJ4" i="16"/>
  <c r="AI4" i="16"/>
  <c r="AF4" i="16"/>
  <c r="AE4" i="16"/>
  <c r="B51" i="8"/>
  <c r="B109" i="25" s="1"/>
  <c r="B49" i="8"/>
  <c r="B106" i="25" s="1"/>
  <c r="B47" i="8"/>
  <c r="B103" i="25" s="1"/>
  <c r="B45" i="8"/>
  <c r="B100" i="25" s="1"/>
  <c r="B9" i="8"/>
  <c r="B10" i="8" s="1"/>
  <c r="B7" i="8"/>
  <c r="B8" i="8" s="1"/>
  <c r="B52" i="2"/>
  <c r="B114" i="22" s="1"/>
  <c r="B50" i="2"/>
  <c r="B111" i="22" s="1"/>
  <c r="B48" i="2"/>
  <c r="B108" i="22" s="1"/>
  <c r="B46" i="2"/>
  <c r="B105" i="22" s="1"/>
  <c r="B9" i="2"/>
  <c r="B10" i="2" s="1"/>
  <c r="B7" i="2"/>
  <c r="B8" i="2" s="1"/>
  <c r="B41" i="8" l="1"/>
  <c r="B94" i="25" s="1"/>
  <c r="B129" i="25"/>
  <c r="B127" i="25"/>
  <c r="B42" i="2"/>
  <c r="B99" i="22" s="1"/>
  <c r="B134" i="22"/>
  <c r="B132" i="22"/>
  <c r="B44" i="2"/>
  <c r="B102" i="22" s="1"/>
  <c r="B43" i="8"/>
  <c r="B97" i="25" s="1"/>
  <c r="F93" i="3" l="1"/>
  <c r="AJ4" i="9"/>
  <c r="AH4" i="9"/>
  <c r="AF4" i="9"/>
  <c r="AD4" i="9"/>
  <c r="AF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 i="15"/>
  <c r="AD2" i="15"/>
  <c r="AD3" i="15"/>
  <c r="AD4" i="15"/>
  <c r="AD5" i="15"/>
  <c r="AD6" i="15"/>
  <c r="AD7" i="15"/>
  <c r="AD8" i="15"/>
  <c r="AD9" i="15"/>
  <c r="AD10" i="15"/>
  <c r="AD11" i="15"/>
  <c r="AD12" i="15"/>
  <c r="AD13" i="15"/>
  <c r="AD14" i="15"/>
  <c r="AD15" i="15"/>
  <c r="AD16" i="15"/>
  <c r="AD17" i="15"/>
  <c r="AD18" i="15"/>
  <c r="AD19" i="15"/>
  <c r="AD20" i="15"/>
  <c r="AD21" i="15"/>
  <c r="AD22" i="15"/>
  <c r="AD23" i="15"/>
  <c r="AD24" i="15"/>
  <c r="AD25" i="15"/>
  <c r="AD26" i="15"/>
  <c r="B9" i="7"/>
  <c r="B81" i="3" s="1"/>
  <c r="B7" i="7"/>
  <c r="R26" i="15" l="1"/>
  <c r="R19" i="15"/>
  <c r="R18" i="15"/>
  <c r="R17" i="15"/>
  <c r="Q17" i="15"/>
  <c r="Q18" i="15"/>
  <c r="Q19" i="15"/>
  <c r="N19" i="15"/>
  <c r="N18" i="15"/>
  <c r="R14" i="15"/>
  <c r="Q14" i="15"/>
  <c r="N14" i="15"/>
  <c r="R13" i="15"/>
  <c r="Q13" i="15"/>
  <c r="R12" i="15"/>
  <c r="Q12" i="15"/>
  <c r="N27" i="15" l="1"/>
  <c r="Q28" i="15"/>
  <c r="O27" i="15"/>
  <c r="P27" i="15"/>
  <c r="S28" i="15"/>
  <c r="Q27" i="15"/>
  <c r="R27" i="15"/>
  <c r="P28" i="15"/>
  <c r="S27" i="15"/>
  <c r="O28" i="15"/>
  <c r="N28" i="15"/>
  <c r="R28" i="15"/>
  <c r="O26" i="15"/>
  <c r="N26" i="15"/>
  <c r="S26" i="15"/>
  <c r="P26" i="15"/>
  <c r="Q26" i="15"/>
  <c r="B6" i="15"/>
  <c r="X2" i="15"/>
  <c r="X3" i="15"/>
  <c r="X4" i="15"/>
  <c r="X5" i="15"/>
  <c r="X6" i="15"/>
  <c r="X7" i="15"/>
  <c r="X8" i="15"/>
  <c r="X9" i="15"/>
  <c r="X10" i="15"/>
  <c r="X11" i="15"/>
  <c r="X12" i="15"/>
  <c r="X13" i="15"/>
  <c r="X14" i="15"/>
  <c r="X15" i="15"/>
  <c r="X16" i="15"/>
  <c r="X17" i="15"/>
  <c r="X18" i="15"/>
  <c r="X19" i="15"/>
  <c r="X20" i="15"/>
  <c r="X21" i="15"/>
  <c r="X22" i="15"/>
  <c r="X23" i="15"/>
  <c r="X24" i="15"/>
  <c r="X25" i="15"/>
  <c r="X26" i="15"/>
  <c r="S11" i="15"/>
  <c r="S10" i="15"/>
  <c r="S6" i="15"/>
  <c r="S5" i="15"/>
  <c r="R11" i="15"/>
  <c r="R10" i="15"/>
  <c r="R6" i="15"/>
  <c r="R5" i="15"/>
  <c r="Q11" i="15"/>
  <c r="Q10" i="15"/>
  <c r="Q6" i="15"/>
  <c r="Q5" i="15"/>
  <c r="P11" i="15"/>
  <c r="P10" i="15"/>
  <c r="P6" i="15"/>
  <c r="P5" i="15"/>
  <c r="O5" i="15"/>
  <c r="O11" i="15"/>
  <c r="O10" i="15"/>
  <c r="O6" i="15"/>
  <c r="N11" i="15"/>
  <c r="N10" i="15"/>
  <c r="N6" i="15"/>
  <c r="N5" i="15"/>
  <c r="B2" i="15"/>
  <c r="B3" i="15"/>
  <c r="B5" i="15"/>
  <c r="G7" i="15"/>
  <c r="F7" i="15"/>
  <c r="E7" i="15"/>
  <c r="D7" i="15"/>
  <c r="H7" i="15"/>
  <c r="T26" i="15" l="1"/>
  <c r="T27" i="15"/>
  <c r="T28" i="15"/>
  <c r="B7" i="15"/>
  <c r="N25" i="15"/>
  <c r="R25" i="15"/>
  <c r="O25" i="15"/>
  <c r="S25" i="15"/>
  <c r="P25" i="15"/>
  <c r="Q25" i="15"/>
  <c r="B4" i="15"/>
  <c r="B8" i="7"/>
  <c r="T25" i="15" l="1"/>
  <c r="B19" i="23" l="1"/>
  <c r="B20" i="26"/>
  <c r="B17" i="23"/>
  <c r="B18" i="26"/>
  <c r="B18" i="23"/>
  <c r="B19" i="26"/>
  <c r="B20" i="23"/>
  <c r="B21" i="26"/>
  <c r="P5" i="13"/>
  <c r="N5" i="13" s="1"/>
  <c r="N4" i="13"/>
  <c r="B25" i="2" l="1"/>
  <c r="B25" i="8" l="1"/>
  <c r="B26" i="9"/>
  <c r="B5" i="7" l="1"/>
  <c r="B21" i="9"/>
  <c r="G15" i="8"/>
  <c r="G14" i="8"/>
  <c r="G13" i="8"/>
  <c r="B22" i="8"/>
  <c r="B20" i="8"/>
  <c r="B18" i="8"/>
  <c r="B16" i="8"/>
  <c r="B14" i="8"/>
  <c r="B12" i="8"/>
  <c r="B22" i="2"/>
  <c r="B20" i="2"/>
  <c r="B18" i="2"/>
  <c r="B16" i="2"/>
  <c r="B14" i="2"/>
  <c r="B12" i="2"/>
  <c r="B63" i="1"/>
  <c r="B46" i="3" s="1"/>
  <c r="B62" i="1"/>
  <c r="B21" i="1"/>
  <c r="B16" i="1"/>
  <c r="D100" i="8" l="1"/>
  <c r="E100" i="8" s="1"/>
  <c r="F105" i="8" s="1"/>
  <c r="B33" i="25" s="1"/>
  <c r="D107" i="2"/>
  <c r="E107" i="2" s="1"/>
  <c r="F112" i="2" s="1"/>
  <c r="B34" i="22" s="1"/>
  <c r="D91" i="2"/>
  <c r="E91" i="2" s="1"/>
  <c r="F96" i="2" s="1"/>
  <c r="D108" i="8"/>
  <c r="E108" i="8" s="1"/>
  <c r="F113" i="8" s="1"/>
  <c r="B34" i="25" s="1"/>
  <c r="D115" i="2"/>
  <c r="E115" i="2" s="1"/>
  <c r="F120" i="2" s="1"/>
  <c r="B33" i="22" s="1"/>
  <c r="D92" i="8"/>
  <c r="E92" i="8" s="1"/>
  <c r="F97" i="8" s="1"/>
  <c r="D99" i="2"/>
  <c r="E99" i="2" s="1"/>
  <c r="F104" i="2" s="1"/>
  <c r="B35" i="22" s="1"/>
  <c r="D116" i="8"/>
  <c r="E116" i="8" s="1"/>
  <c r="F121" i="8" s="1"/>
  <c r="B35" i="25" s="1"/>
  <c r="B16" i="23"/>
  <c r="B11" i="16" s="1"/>
  <c r="B17" i="26"/>
  <c r="B15" i="25"/>
  <c r="B13" i="8" s="1"/>
  <c r="B65" i="3" s="1"/>
  <c r="B16" i="25"/>
  <c r="B15" i="8" s="1"/>
  <c r="B17" i="25"/>
  <c r="B17" i="8" s="1"/>
  <c r="B56" i="8" s="1"/>
  <c r="B84" i="25" s="1"/>
  <c r="B18" i="25"/>
  <c r="B19" i="8" s="1"/>
  <c r="B20" i="25"/>
  <c r="B23" i="8" s="1"/>
  <c r="AR9" i="8" s="1"/>
  <c r="B19" i="25"/>
  <c r="B21" i="8" s="1"/>
  <c r="AN14" i="8" s="1"/>
  <c r="B14" i="3"/>
  <c r="B16" i="22"/>
  <c r="B15" i="2" s="1"/>
  <c r="CM9" i="2" s="1"/>
  <c r="B17" i="22"/>
  <c r="B17" i="2" s="1"/>
  <c r="AH28" i="8" s="1"/>
  <c r="B19" i="22"/>
  <c r="B21" i="2" s="1"/>
  <c r="CP19" i="2" s="1"/>
  <c r="B15" i="22"/>
  <c r="B13" i="2" s="1"/>
  <c r="CL23" i="2" s="1"/>
  <c r="B18" i="22"/>
  <c r="B19" i="2" s="1"/>
  <c r="B20" i="22"/>
  <c r="B23" i="2" s="1"/>
  <c r="AU9" i="8" s="1"/>
  <c r="B61" i="9"/>
  <c r="B131" i="23" s="1"/>
  <c r="B61" i="16"/>
  <c r="B133" i="26" s="1"/>
  <c r="B142" i="3"/>
  <c r="AI4" i="9"/>
  <c r="L32" i="16"/>
  <c r="L36" i="16"/>
  <c r="L41" i="16"/>
  <c r="L45" i="16"/>
  <c r="L15" i="16"/>
  <c r="L25" i="16"/>
  <c r="L28" i="16"/>
  <c r="L35" i="16"/>
  <c r="L38" i="16"/>
  <c r="L48" i="16"/>
  <c r="L52" i="16"/>
  <c r="L54" i="16"/>
  <c r="L8" i="16"/>
  <c r="L24" i="16"/>
  <c r="L33" i="16"/>
  <c r="L46" i="16"/>
  <c r="L50" i="16"/>
  <c r="L53" i="16"/>
  <c r="L6" i="16"/>
  <c r="L16" i="16"/>
  <c r="L17" i="16"/>
  <c r="L19" i="16"/>
  <c r="L26" i="16"/>
  <c r="L34" i="16"/>
  <c r="L42" i="16"/>
  <c r="L47" i="16"/>
  <c r="L49" i="16"/>
  <c r="L51" i="16"/>
  <c r="L7" i="16"/>
  <c r="L12" i="16"/>
  <c r="L31" i="16"/>
  <c r="L9" i="16"/>
  <c r="L20" i="16"/>
  <c r="L14" i="16"/>
  <c r="L27" i="16"/>
  <c r="L30" i="16"/>
  <c r="L43" i="16"/>
  <c r="L18" i="16"/>
  <c r="L22" i="16"/>
  <c r="L11" i="16"/>
  <c r="L37" i="16"/>
  <c r="L44" i="16"/>
  <c r="L5" i="16"/>
  <c r="L10" i="16"/>
  <c r="L40" i="16"/>
  <c r="L13" i="16"/>
  <c r="L29" i="16"/>
  <c r="L39" i="16"/>
  <c r="L21" i="16"/>
  <c r="L23" i="16"/>
  <c r="B5" i="16"/>
  <c r="B6" i="16" s="1"/>
  <c r="B7" i="16"/>
  <c r="B53" i="16" s="1"/>
  <c r="B155" i="26" s="1"/>
  <c r="L4" i="16"/>
  <c r="B15" i="9"/>
  <c r="B15" i="16"/>
  <c r="B13" i="9"/>
  <c r="B13" i="16"/>
  <c r="B17" i="9"/>
  <c r="B17" i="16"/>
  <c r="B19" i="9"/>
  <c r="B19" i="16"/>
  <c r="B122" i="3"/>
  <c r="B25" i="16"/>
  <c r="B21" i="16"/>
  <c r="M54" i="9"/>
  <c r="L22" i="2"/>
  <c r="L54" i="2"/>
  <c r="L16" i="8"/>
  <c r="CI16" i="8" s="1"/>
  <c r="L34" i="2"/>
  <c r="L6" i="2"/>
  <c r="L28" i="8"/>
  <c r="CI28" i="8" s="1"/>
  <c r="M20" i="9"/>
  <c r="L12" i="2"/>
  <c r="L46" i="8"/>
  <c r="CI46" i="8" s="1"/>
  <c r="M35" i="9"/>
  <c r="L44" i="2"/>
  <c r="L13" i="2"/>
  <c r="L25" i="2"/>
  <c r="L35" i="2"/>
  <c r="L45" i="2"/>
  <c r="L29" i="8"/>
  <c r="CI29" i="8" s="1"/>
  <c r="L47" i="8"/>
  <c r="CI47" i="8" s="1"/>
  <c r="M22" i="9"/>
  <c r="M40" i="9"/>
  <c r="L17" i="8"/>
  <c r="CI17" i="8" s="1"/>
  <c r="L27" i="2"/>
  <c r="L49" i="2"/>
  <c r="L49" i="8"/>
  <c r="CI49" i="8" s="1"/>
  <c r="M43" i="9"/>
  <c r="L14" i="2"/>
  <c r="L36" i="2"/>
  <c r="L35" i="8"/>
  <c r="CI35" i="8" s="1"/>
  <c r="L48" i="8"/>
  <c r="CI48" i="8" s="1"/>
  <c r="M23" i="9"/>
  <c r="M42" i="9"/>
  <c r="L17" i="2"/>
  <c r="L37" i="2"/>
  <c r="L4" i="8"/>
  <c r="CI4" i="8" s="1"/>
  <c r="L9" i="8"/>
  <c r="CI9" i="8" s="1"/>
  <c r="L36" i="8"/>
  <c r="CI36" i="8" s="1"/>
  <c r="M10" i="9"/>
  <c r="M24" i="9"/>
  <c r="L18" i="2"/>
  <c r="L28" i="2"/>
  <c r="L38" i="2"/>
  <c r="L50" i="2"/>
  <c r="L10" i="8"/>
  <c r="CI10" i="8" s="1"/>
  <c r="L19" i="8"/>
  <c r="CI19" i="8" s="1"/>
  <c r="L37" i="8"/>
  <c r="CI37" i="8" s="1"/>
  <c r="M11" i="9"/>
  <c r="M29" i="9"/>
  <c r="M44" i="9"/>
  <c r="L9" i="2"/>
  <c r="L19" i="2"/>
  <c r="L29" i="2"/>
  <c r="L41" i="2"/>
  <c r="L51" i="2"/>
  <c r="L5" i="8"/>
  <c r="CI5" i="8" s="1"/>
  <c r="L11" i="8"/>
  <c r="CI11" i="8" s="1"/>
  <c r="L24" i="8"/>
  <c r="CI24" i="8" s="1"/>
  <c r="L38" i="8"/>
  <c r="CI38" i="8" s="1"/>
  <c r="M4" i="9"/>
  <c r="M13" i="9"/>
  <c r="M31" i="9"/>
  <c r="M45" i="9"/>
  <c r="L5" i="2"/>
  <c r="L10" i="2"/>
  <c r="L20" i="2"/>
  <c r="L30" i="2"/>
  <c r="L42" i="2"/>
  <c r="L52" i="2"/>
  <c r="L12" i="8"/>
  <c r="CI12" i="8" s="1"/>
  <c r="L25" i="8"/>
  <c r="CI25" i="8" s="1"/>
  <c r="L39" i="8"/>
  <c r="CI39" i="8" s="1"/>
  <c r="M14" i="9"/>
  <c r="M32" i="9"/>
  <c r="M51" i="9"/>
  <c r="L7" i="2"/>
  <c r="L26" i="2"/>
  <c r="L46" i="2"/>
  <c r="L11" i="2"/>
  <c r="L21" i="2"/>
  <c r="L33" i="2"/>
  <c r="L43" i="2"/>
  <c r="L53" i="2"/>
  <c r="L6" i="8"/>
  <c r="CI6" i="8" s="1"/>
  <c r="L27" i="8"/>
  <c r="CI27" i="8" s="1"/>
  <c r="L45" i="8"/>
  <c r="CI45" i="8" s="1"/>
  <c r="M19" i="9"/>
  <c r="M34" i="9"/>
  <c r="M52" i="9"/>
  <c r="L14" i="8"/>
  <c r="CI14" i="8" s="1"/>
  <c r="L20" i="8"/>
  <c r="CI20" i="8" s="1"/>
  <c r="L30" i="8"/>
  <c r="CI30" i="8" s="1"/>
  <c r="L40" i="8"/>
  <c r="CI40" i="8" s="1"/>
  <c r="L52" i="8"/>
  <c r="CI52" i="8" s="1"/>
  <c r="M7" i="9"/>
  <c r="M15" i="9"/>
  <c r="M26" i="9"/>
  <c r="M36" i="9"/>
  <c r="M46" i="9"/>
  <c r="L4" i="2"/>
  <c r="L8" i="2"/>
  <c r="L15" i="2"/>
  <c r="L23" i="2"/>
  <c r="L31" i="2"/>
  <c r="L39" i="2"/>
  <c r="L47" i="2"/>
  <c r="L15" i="8"/>
  <c r="CI15" i="8" s="1"/>
  <c r="L21" i="8"/>
  <c r="CI21" i="8" s="1"/>
  <c r="L31" i="8"/>
  <c r="CI31" i="8" s="1"/>
  <c r="L43" i="8"/>
  <c r="CI43" i="8" s="1"/>
  <c r="L53" i="8"/>
  <c r="CI53" i="8" s="1"/>
  <c r="M16" i="9"/>
  <c r="M27" i="9"/>
  <c r="M37" i="9"/>
  <c r="M47" i="9"/>
  <c r="L16" i="2"/>
  <c r="L24" i="2"/>
  <c r="L32" i="2"/>
  <c r="L40" i="2"/>
  <c r="L48" i="2"/>
  <c r="L8" i="8"/>
  <c r="CI8" i="8" s="1"/>
  <c r="L22" i="8"/>
  <c r="CI22" i="8" s="1"/>
  <c r="L33" i="8"/>
  <c r="CI33" i="8" s="1"/>
  <c r="L44" i="8"/>
  <c r="CI44" i="8" s="1"/>
  <c r="L54" i="8"/>
  <c r="CI54" i="8" s="1"/>
  <c r="M8" i="9"/>
  <c r="M18" i="9"/>
  <c r="M28" i="9"/>
  <c r="M38" i="9"/>
  <c r="M50" i="9"/>
  <c r="B85" i="3"/>
  <c r="B6" i="7"/>
  <c r="L23" i="8"/>
  <c r="CI23" i="8" s="1"/>
  <c r="L32" i="8"/>
  <c r="CI32" i="8" s="1"/>
  <c r="L41" i="8"/>
  <c r="CI41" i="8" s="1"/>
  <c r="L51" i="8"/>
  <c r="CI51" i="8" s="1"/>
  <c r="M6" i="9"/>
  <c r="M12" i="9"/>
  <c r="M21" i="9"/>
  <c r="M30" i="9"/>
  <c r="M39" i="9"/>
  <c r="M48" i="9"/>
  <c r="M53" i="9"/>
  <c r="L7" i="8"/>
  <c r="CI7" i="8" s="1"/>
  <c r="L13" i="8"/>
  <c r="CI13" i="8" s="1"/>
  <c r="L18" i="8"/>
  <c r="CI18" i="8" s="1"/>
  <c r="L26" i="8"/>
  <c r="CI26" i="8" s="1"/>
  <c r="L34" i="8"/>
  <c r="CI34" i="8" s="1"/>
  <c r="L42" i="8"/>
  <c r="CI42" i="8" s="1"/>
  <c r="L50" i="8"/>
  <c r="CI50" i="8" s="1"/>
  <c r="M5" i="9"/>
  <c r="M9" i="9"/>
  <c r="M17" i="9"/>
  <c r="M25" i="9"/>
  <c r="M33" i="9"/>
  <c r="M41" i="9"/>
  <c r="M49" i="9"/>
  <c r="B25" i="9"/>
  <c r="B26" i="26" s="1"/>
  <c r="B11" i="9" l="1"/>
  <c r="V4" i="16" s="1"/>
  <c r="M44" i="2"/>
  <c r="CI44" i="2"/>
  <c r="M24" i="2"/>
  <c r="CI24" i="2"/>
  <c r="M8" i="2"/>
  <c r="CF8" i="2" s="1"/>
  <c r="CI8" i="2"/>
  <c r="M26" i="2"/>
  <c r="CF26" i="2" s="1"/>
  <c r="CI26" i="2"/>
  <c r="M52" i="2"/>
  <c r="CI52" i="2"/>
  <c r="M29" i="2"/>
  <c r="CI29" i="2"/>
  <c r="M36" i="2"/>
  <c r="CF36" i="2" s="1"/>
  <c r="CI36" i="2"/>
  <c r="M54" i="2"/>
  <c r="CF54" i="2" s="1"/>
  <c r="CI54" i="2"/>
  <c r="M16" i="2"/>
  <c r="CI16" i="2"/>
  <c r="M4" i="2"/>
  <c r="CI4" i="2"/>
  <c r="M7" i="2"/>
  <c r="CF7" i="2" s="1"/>
  <c r="CI7" i="2"/>
  <c r="M42" i="2"/>
  <c r="CF42" i="2" s="1"/>
  <c r="CI42" i="2"/>
  <c r="M19" i="2"/>
  <c r="CI19" i="2"/>
  <c r="M50" i="2"/>
  <c r="CI50" i="2"/>
  <c r="M14" i="2"/>
  <c r="CF14" i="2" s="1"/>
  <c r="CI14" i="2"/>
  <c r="M22" i="2"/>
  <c r="CF22" i="2" s="1"/>
  <c r="CI22" i="2"/>
  <c r="M41" i="2"/>
  <c r="CI41" i="2"/>
  <c r="M33" i="2"/>
  <c r="CI33" i="2"/>
  <c r="M10" i="2"/>
  <c r="BX10" i="2" s="1"/>
  <c r="CE10" i="2" s="1"/>
  <c r="CI10" i="2"/>
  <c r="M18" i="2"/>
  <c r="CF18" i="2" s="1"/>
  <c r="CI18" i="2"/>
  <c r="M49" i="2"/>
  <c r="CI49" i="2"/>
  <c r="M35" i="2"/>
  <c r="CI35" i="2"/>
  <c r="M32" i="2"/>
  <c r="CF32" i="2" s="1"/>
  <c r="CI32" i="2"/>
  <c r="M9" i="2"/>
  <c r="CF9" i="2" s="1"/>
  <c r="CI9" i="2"/>
  <c r="M37" i="2"/>
  <c r="CI37" i="2"/>
  <c r="M12" i="2"/>
  <c r="CI12" i="2"/>
  <c r="M47" i="2"/>
  <c r="CF47" i="2" s="1"/>
  <c r="CI47" i="2"/>
  <c r="M43" i="2"/>
  <c r="CF43" i="2" s="1"/>
  <c r="CI43" i="2"/>
  <c r="M20" i="2"/>
  <c r="CI20" i="2"/>
  <c r="M39" i="2"/>
  <c r="CI39" i="2"/>
  <c r="M48" i="2"/>
  <c r="CF48" i="2" s="1"/>
  <c r="CI48" i="2"/>
  <c r="M31" i="2"/>
  <c r="CF31" i="2" s="1"/>
  <c r="CI31" i="2"/>
  <c r="M21" i="2"/>
  <c r="CI21" i="2"/>
  <c r="M5" i="2"/>
  <c r="CI5" i="2"/>
  <c r="M27" i="2"/>
  <c r="BX27" i="2" s="1"/>
  <c r="CE27" i="2" s="1"/>
  <c r="CI27" i="2"/>
  <c r="M25" i="2"/>
  <c r="CF25" i="2" s="1"/>
  <c r="CI25" i="2"/>
  <c r="M6" i="2"/>
  <c r="CI6" i="2"/>
  <c r="M15" i="2"/>
  <c r="CI15" i="2"/>
  <c r="M46" i="2"/>
  <c r="CF46" i="2" s="1"/>
  <c r="CI46" i="2"/>
  <c r="M53" i="2"/>
  <c r="BX53" i="2" s="1"/>
  <c r="CE53" i="2" s="1"/>
  <c r="CI53" i="2"/>
  <c r="M30" i="2"/>
  <c r="CI30" i="2"/>
  <c r="M38" i="2"/>
  <c r="CI38" i="2"/>
  <c r="M28" i="2"/>
  <c r="BX28" i="2" s="1"/>
  <c r="CE28" i="2" s="1"/>
  <c r="CI28" i="2"/>
  <c r="M17" i="2"/>
  <c r="CF17" i="2" s="1"/>
  <c r="CI17" i="2"/>
  <c r="M45" i="2"/>
  <c r="CI45" i="2"/>
  <c r="M40" i="2"/>
  <c r="CI40" i="2"/>
  <c r="M23" i="2"/>
  <c r="BX23" i="2" s="1"/>
  <c r="CE23" i="2" s="1"/>
  <c r="CI23" i="2"/>
  <c r="M11" i="2"/>
  <c r="CF11" i="2" s="1"/>
  <c r="CI11" i="2"/>
  <c r="M51" i="2"/>
  <c r="CI51" i="2"/>
  <c r="M13" i="2"/>
  <c r="CI13" i="2"/>
  <c r="M34" i="2"/>
  <c r="BX34" i="2" s="1"/>
  <c r="CE34" i="2" s="1"/>
  <c r="CI34" i="2"/>
  <c r="B36" i="25"/>
  <c r="I121" i="8"/>
  <c r="C68" i="1" s="1"/>
  <c r="B36" i="22"/>
  <c r="I120" i="2"/>
  <c r="C67" i="1" s="1"/>
  <c r="AQ24" i="2"/>
  <c r="AP14" i="8"/>
  <c r="AO38" i="2"/>
  <c r="AN4" i="2"/>
  <c r="AN50" i="2"/>
  <c r="AN20" i="2"/>
  <c r="AP37" i="2"/>
  <c r="AQ44" i="2"/>
  <c r="AO37" i="2"/>
  <c r="AQ51" i="2"/>
  <c r="AQ23" i="2"/>
  <c r="AP43" i="2"/>
  <c r="AO7" i="2"/>
  <c r="AP15" i="2"/>
  <c r="AP47" i="2"/>
  <c r="AO33" i="2"/>
  <c r="AP16" i="2"/>
  <c r="AQ25" i="2"/>
  <c r="AQ46" i="2"/>
  <c r="AN21" i="2"/>
  <c r="AO51" i="2"/>
  <c r="AQ13" i="2"/>
  <c r="AO39" i="2"/>
  <c r="AN52" i="2"/>
  <c r="AP44" i="2"/>
  <c r="AN22" i="2"/>
  <c r="AG36" i="8"/>
  <c r="AG52" i="8"/>
  <c r="AG30" i="8"/>
  <c r="AF22" i="8"/>
  <c r="AF17" i="8"/>
  <c r="AG16" i="8"/>
  <c r="AG44" i="8"/>
  <c r="AF35" i="8"/>
  <c r="AG19" i="8"/>
  <c r="AF46" i="8"/>
  <c r="B67" i="3"/>
  <c r="H67" i="3" s="1"/>
  <c r="G75" i="3" s="1"/>
  <c r="AF48" i="8"/>
  <c r="AF25" i="8"/>
  <c r="AG21" i="8"/>
  <c r="AF45" i="8"/>
  <c r="AF28" i="8"/>
  <c r="AG15" i="8"/>
  <c r="AG50" i="8"/>
  <c r="AG27" i="8"/>
  <c r="AG20" i="8"/>
  <c r="AG25" i="8"/>
  <c r="AG38" i="8"/>
  <c r="AG14" i="8"/>
  <c r="AF26" i="8"/>
  <c r="AF53" i="8"/>
  <c r="AG47" i="8"/>
  <c r="AF20" i="8"/>
  <c r="AG46" i="8"/>
  <c r="AF33" i="8"/>
  <c r="AF44" i="8"/>
  <c r="AF12" i="8"/>
  <c r="AF14" i="8"/>
  <c r="AG9" i="8"/>
  <c r="AG37" i="8"/>
  <c r="AG26" i="8"/>
  <c r="AF7" i="8"/>
  <c r="AF37" i="8"/>
  <c r="AG22" i="8"/>
  <c r="AG4" i="8"/>
  <c r="AG48" i="8"/>
  <c r="AF52" i="8"/>
  <c r="AG41" i="8"/>
  <c r="AF30" i="8"/>
  <c r="AF31" i="8"/>
  <c r="AG6" i="8"/>
  <c r="AG35" i="8"/>
  <c r="AF42" i="8"/>
  <c r="AG51" i="8"/>
  <c r="AF39" i="8"/>
  <c r="AF29" i="8"/>
  <c r="AG24" i="8"/>
  <c r="AF14" i="2"/>
  <c r="AH9" i="2"/>
  <c r="AI13" i="2"/>
  <c r="AI28" i="2"/>
  <c r="AG19" i="2"/>
  <c r="AF8" i="2"/>
  <c r="AH51" i="8"/>
  <c r="AH34" i="2"/>
  <c r="AG28" i="2"/>
  <c r="AI18" i="2"/>
  <c r="AH5" i="2"/>
  <c r="AI17" i="8"/>
  <c r="AG52" i="2"/>
  <c r="AG12" i="2"/>
  <c r="AF46" i="2"/>
  <c r="AI31" i="2"/>
  <c r="AG4" i="2"/>
  <c r="AI24" i="2"/>
  <c r="AG40" i="2"/>
  <c r="AH40" i="2"/>
  <c r="AI19" i="2"/>
  <c r="AI38" i="2"/>
  <c r="AH16" i="2"/>
  <c r="AI45" i="8"/>
  <c r="AI44" i="2"/>
  <c r="AG23" i="2"/>
  <c r="AH24" i="2"/>
  <c r="AI15" i="2"/>
  <c r="AF30" i="2"/>
  <c r="AI30" i="2"/>
  <c r="AH27" i="2"/>
  <c r="AG27" i="2"/>
  <c r="AH12" i="2"/>
  <c r="AH52" i="2"/>
  <c r="AI20" i="2"/>
  <c r="AH46" i="2"/>
  <c r="AG36" i="2"/>
  <c r="AG25" i="2"/>
  <c r="AG45" i="2"/>
  <c r="AH31" i="2"/>
  <c r="AF11" i="2"/>
  <c r="AH22" i="2"/>
  <c r="AI7" i="2"/>
  <c r="AH51" i="2"/>
  <c r="AG7" i="2"/>
  <c r="AH39" i="2"/>
  <c r="AI51" i="2"/>
  <c r="AI22" i="2"/>
  <c r="AG39" i="2"/>
  <c r="AH23" i="2"/>
  <c r="AH8" i="2"/>
  <c r="AH18" i="2"/>
  <c r="AF38" i="2"/>
  <c r="AI5" i="2"/>
  <c r="AI45" i="2"/>
  <c r="AF18" i="2"/>
  <c r="AH10" i="2"/>
  <c r="AI4" i="2"/>
  <c r="AH37" i="2"/>
  <c r="AI41" i="2"/>
  <c r="AH43" i="2"/>
  <c r="AG43" i="2"/>
  <c r="AI26" i="2"/>
  <c r="AH15" i="2"/>
  <c r="AH21" i="2"/>
  <c r="AH6" i="2"/>
  <c r="AI18" i="8"/>
  <c r="AH42" i="2"/>
  <c r="AG50" i="2"/>
  <c r="AG33" i="2"/>
  <c r="AH25" i="2"/>
  <c r="AH4" i="2"/>
  <c r="AI29" i="2"/>
  <c r="AF42" i="2"/>
  <c r="AG31" i="2"/>
  <c r="AF6" i="2"/>
  <c r="AI34" i="2"/>
  <c r="AG21" i="2"/>
  <c r="AH28" i="2"/>
  <c r="AH13" i="2"/>
  <c r="AF5" i="2"/>
  <c r="AH39" i="8"/>
  <c r="AQ29" i="8"/>
  <c r="CP20" i="2"/>
  <c r="AP52" i="2"/>
  <c r="AP41" i="2"/>
  <c r="AO19" i="2"/>
  <c r="AQ50" i="2"/>
  <c r="AQ26" i="2"/>
  <c r="AQ36" i="2"/>
  <c r="AN14" i="2"/>
  <c r="AN16" i="2"/>
  <c r="AP18" i="2"/>
  <c r="AO22" i="2"/>
  <c r="AQ54" i="2"/>
  <c r="AO53" i="2"/>
  <c r="AN36" i="2"/>
  <c r="AP45" i="2"/>
  <c r="AP49" i="2"/>
  <c r="AO40" i="2"/>
  <c r="AP23" i="2"/>
  <c r="AO21" i="2"/>
  <c r="AQ28" i="2"/>
  <c r="AQ34" i="2"/>
  <c r="AP40" i="2"/>
  <c r="AN6" i="2"/>
  <c r="AN11" i="2"/>
  <c r="AP13" i="2"/>
  <c r="AP14" i="2"/>
  <c r="AO18" i="2"/>
  <c r="AP23" i="8"/>
  <c r="AP20" i="8"/>
  <c r="AQ16" i="8"/>
  <c r="CP51" i="2"/>
  <c r="AO52" i="2"/>
  <c r="AQ41" i="2"/>
  <c r="AQ21" i="2"/>
  <c r="AN38" i="2"/>
  <c r="AN47" i="2"/>
  <c r="AQ37" i="2"/>
  <c r="AN10" i="2"/>
  <c r="AO13" i="2"/>
  <c r="AQ20" i="2"/>
  <c r="AQ30" i="2"/>
  <c r="AN39" i="2"/>
  <c r="AP32" i="2"/>
  <c r="AN7" i="2"/>
  <c r="AP9" i="2"/>
  <c r="AP10" i="2"/>
  <c r="AQ15" i="2"/>
  <c r="AP18" i="8"/>
  <c r="AQ53" i="8"/>
  <c r="AQ13" i="8"/>
  <c r="CP43" i="2"/>
  <c r="AQ17" i="2"/>
  <c r="AN53" i="2"/>
  <c r="AN37" i="2"/>
  <c r="AO31" i="2"/>
  <c r="AN46" i="2"/>
  <c r="AP12" i="2"/>
  <c r="AN48" i="2"/>
  <c r="AO27" i="2"/>
  <c r="AQ5" i="2"/>
  <c r="AP35" i="2"/>
  <c r="AP42" i="2"/>
  <c r="AQ16" i="2"/>
  <c r="AO49" i="2"/>
  <c r="AO5" i="2"/>
  <c r="AO15" i="2"/>
  <c r="AO25" i="2"/>
  <c r="AN35" i="2"/>
  <c r="AP28" i="2"/>
  <c r="AN32" i="2"/>
  <c r="AN8" i="2"/>
  <c r="AN9" i="2"/>
  <c r="AQ11" i="2"/>
  <c r="AP4" i="8"/>
  <c r="AQ48" i="8"/>
  <c r="AQ5" i="8"/>
  <c r="CP45" i="2"/>
  <c r="AO17" i="2"/>
  <c r="AQ33" i="2"/>
  <c r="AN27" i="2"/>
  <c r="AP29" i="2"/>
  <c r="AP30" i="2"/>
  <c r="AN5" i="2"/>
  <c r="AQ7" i="2"/>
  <c r="AP24" i="8"/>
  <c r="AQ40" i="8"/>
  <c r="AQ4" i="8"/>
  <c r="AO4" i="2"/>
  <c r="AP39" i="2"/>
  <c r="AQ8" i="2"/>
  <c r="AP38" i="2"/>
  <c r="AQ9" i="2"/>
  <c r="AN34" i="2"/>
  <c r="AO50" i="2"/>
  <c r="AO42" i="2"/>
  <c r="AO44" i="2"/>
  <c r="AO46" i="2"/>
  <c r="AQ14" i="2"/>
  <c r="AO32" i="2"/>
  <c r="AN23" i="2"/>
  <c r="AP25" i="2"/>
  <c r="AP26" i="2"/>
  <c r="AQ31" i="2"/>
  <c r="AO6" i="2"/>
  <c r="AP19" i="8"/>
  <c r="AQ37" i="8"/>
  <c r="CP38" i="2"/>
  <c r="AO20" i="2"/>
  <c r="AP53" i="2"/>
  <c r="AP31" i="2"/>
  <c r="AQ49" i="2"/>
  <c r="AQ29" i="2"/>
  <c r="AO48" i="2"/>
  <c r="AQ38" i="2"/>
  <c r="AO43" i="2"/>
  <c r="AO45" i="2"/>
  <c r="AQ6" i="2"/>
  <c r="AP27" i="2"/>
  <c r="AN19" i="2"/>
  <c r="AN24" i="2"/>
  <c r="AN25" i="2"/>
  <c r="AQ27" i="2"/>
  <c r="AP46" i="8"/>
  <c r="AQ32" i="8"/>
  <c r="CP4" i="2"/>
  <c r="AP7" i="8"/>
  <c r="AP33" i="8"/>
  <c r="AQ21" i="8"/>
  <c r="CP22" i="2"/>
  <c r="CP25" i="2"/>
  <c r="AP46" i="2"/>
  <c r="AN44" i="2"/>
  <c r="AO36" i="2"/>
  <c r="AN51" i="2"/>
  <c r="AN41" i="2"/>
  <c r="AN43" i="2"/>
  <c r="AQ42" i="2"/>
  <c r="AN40" i="2"/>
  <c r="AO47" i="2"/>
  <c r="AN49" i="2"/>
  <c r="AP7" i="2"/>
  <c r="AO29" i="2"/>
  <c r="AQ45" i="2"/>
  <c r="AO23" i="2"/>
  <c r="AQ40" i="2"/>
  <c r="AQ22" i="2"/>
  <c r="AN45" i="2"/>
  <c r="AN30" i="2"/>
  <c r="AN31" i="2"/>
  <c r="AN15" i="2"/>
  <c r="AN28" i="2"/>
  <c r="AN12" i="2"/>
  <c r="AP22" i="2"/>
  <c r="AP6" i="2"/>
  <c r="AQ19" i="2"/>
  <c r="AP32" i="8"/>
  <c r="AP9" i="8"/>
  <c r="AQ36" i="8"/>
  <c r="AQ8" i="8"/>
  <c r="CP39" i="2"/>
  <c r="CP11" i="2"/>
  <c r="AP4" i="2"/>
  <c r="AP51" i="2"/>
  <c r="AQ53" i="2"/>
  <c r="AO11" i="2"/>
  <c r="AO24" i="2"/>
  <c r="AN18" i="2"/>
  <c r="AO28" i="2"/>
  <c r="AP50" i="2"/>
  <c r="AN33" i="2"/>
  <c r="AO34" i="2"/>
  <c r="AN42" i="2"/>
  <c r="AQ43" i="2"/>
  <c r="AQ18" i="2"/>
  <c r="AQ39" i="2"/>
  <c r="AQ12" i="2"/>
  <c r="AO35" i="2"/>
  <c r="AO9" i="2"/>
  <c r="AP36" i="2"/>
  <c r="AP19" i="2"/>
  <c r="AP24" i="2"/>
  <c r="AP8" i="2"/>
  <c r="AP21" i="2"/>
  <c r="AP5" i="2"/>
  <c r="AN17" i="2"/>
  <c r="AO30" i="2"/>
  <c r="AO14" i="2"/>
  <c r="AP45" i="8"/>
  <c r="AP51" i="8"/>
  <c r="AQ52" i="8"/>
  <c r="AQ24" i="8"/>
  <c r="B59" i="2"/>
  <c r="B90" i="22" s="1"/>
  <c r="CP26" i="2"/>
  <c r="AO54" i="2"/>
  <c r="AQ4" i="2"/>
  <c r="AP54" i="2"/>
  <c r="AO8" i="2"/>
  <c r="AN54" i="2"/>
  <c r="AO12" i="2"/>
  <c r="AQ48" i="2"/>
  <c r="AO16" i="2"/>
  <c r="AQ52" i="2"/>
  <c r="AN26" i="2"/>
  <c r="AO41" i="2"/>
  <c r="AQ10" i="2"/>
  <c r="AQ35" i="2"/>
  <c r="AQ47" i="2"/>
  <c r="AQ32" i="2"/>
  <c r="AP48" i="2"/>
  <c r="AP34" i="2"/>
  <c r="AP11" i="2"/>
  <c r="AP20" i="2"/>
  <c r="AP33" i="2"/>
  <c r="AP17" i="2"/>
  <c r="AN29" i="2"/>
  <c r="AN13" i="2"/>
  <c r="AO26" i="2"/>
  <c r="AO10" i="2"/>
  <c r="AP21" i="8"/>
  <c r="AP22" i="8"/>
  <c r="AQ45" i="8"/>
  <c r="AQ20" i="8"/>
  <c r="CP50" i="2"/>
  <c r="CP40" i="2"/>
  <c r="AP37" i="8"/>
  <c r="AP34" i="8"/>
  <c r="AP38" i="8"/>
  <c r="AP12" i="8"/>
  <c r="AQ39" i="8"/>
  <c r="AQ23" i="8"/>
  <c r="AQ7" i="8"/>
  <c r="CP44" i="2"/>
  <c r="CP28" i="2"/>
  <c r="CP6" i="2"/>
  <c r="AP15" i="8"/>
  <c r="AP48" i="8"/>
  <c r="AP25" i="8"/>
  <c r="AQ47" i="8"/>
  <c r="AQ31" i="8"/>
  <c r="AQ15" i="8"/>
  <c r="CP12" i="2"/>
  <c r="CP48" i="2"/>
  <c r="CP49" i="2"/>
  <c r="AP29" i="8"/>
  <c r="AP43" i="8"/>
  <c r="AP52" i="8"/>
  <c r="AQ44" i="8"/>
  <c r="AQ28" i="8"/>
  <c r="AQ12" i="8"/>
  <c r="CP16" i="2"/>
  <c r="CP42" i="2"/>
  <c r="CP29" i="2"/>
  <c r="CN21" i="2"/>
  <c r="AH38" i="8"/>
  <c r="B54" i="8"/>
  <c r="B82" i="25" s="1"/>
  <c r="AU12" i="8"/>
  <c r="CP17" i="2"/>
  <c r="CP13" i="2"/>
  <c r="AS44" i="2"/>
  <c r="AN45" i="8"/>
  <c r="CP7" i="2"/>
  <c r="AO51" i="8"/>
  <c r="AU24" i="2"/>
  <c r="AN17" i="8"/>
  <c r="AS7" i="2"/>
  <c r="AO47" i="8"/>
  <c r="AS47" i="8"/>
  <c r="AR36" i="8"/>
  <c r="AN18" i="8"/>
  <c r="AN50" i="8"/>
  <c r="AR41" i="8"/>
  <c r="CM50" i="2"/>
  <c r="AS17" i="2"/>
  <c r="AS45" i="8"/>
  <c r="AT41" i="2"/>
  <c r="AS28" i="2"/>
  <c r="AU18" i="2"/>
  <c r="AR7" i="8"/>
  <c r="AT4" i="2"/>
  <c r="AT45" i="2"/>
  <c r="AS51" i="8"/>
  <c r="AT38" i="8"/>
  <c r="CO22" i="2"/>
  <c r="AL5" i="8"/>
  <c r="AL15" i="2"/>
  <c r="AM45" i="2"/>
  <c r="AJ48" i="2"/>
  <c r="AK37" i="2"/>
  <c r="AJ32" i="2"/>
  <c r="AR42" i="8"/>
  <c r="AR34" i="8"/>
  <c r="AS35" i="8"/>
  <c r="AS6" i="8"/>
  <c r="AR32" i="8"/>
  <c r="AS25" i="8"/>
  <c r="AS41" i="8"/>
  <c r="AS52" i="8"/>
  <c r="AS19" i="8"/>
  <c r="AR38" i="8"/>
  <c r="CM12" i="2"/>
  <c r="AS40" i="8"/>
  <c r="AR52" i="8"/>
  <c r="AS44" i="8"/>
  <c r="AS5" i="8"/>
  <c r="AR28" i="8"/>
  <c r="CM28" i="2"/>
  <c r="AS21" i="8"/>
  <c r="AR53" i="8"/>
  <c r="AR30" i="8"/>
  <c r="AR31" i="8"/>
  <c r="CM4" i="2"/>
  <c r="AK9" i="8"/>
  <c r="AJ17" i="8"/>
  <c r="AK34" i="8"/>
  <c r="AJ35" i="8"/>
  <c r="AK12" i="8"/>
  <c r="H13" i="8"/>
  <c r="I13" i="8" s="1"/>
  <c r="AJ8" i="8"/>
  <c r="AK5" i="8"/>
  <c r="AK33" i="8"/>
  <c r="AK10" i="8"/>
  <c r="AK8" i="8"/>
  <c r="AJ46" i="8"/>
  <c r="AK37" i="8"/>
  <c r="AJ39" i="8"/>
  <c r="AJ34" i="8"/>
  <c r="AK28" i="8"/>
  <c r="AK45" i="8"/>
  <c r="AK52" i="8"/>
  <c r="AK50" i="8"/>
  <c r="AJ15" i="8"/>
  <c r="AJ10" i="8"/>
  <c r="AJ6" i="8"/>
  <c r="AJ11" i="8"/>
  <c r="AK41" i="8"/>
  <c r="AK24" i="8"/>
  <c r="AJ32" i="8"/>
  <c r="AJ53" i="8"/>
  <c r="AJ4" i="8"/>
  <c r="AJ46" i="2"/>
  <c r="AM42" i="2"/>
  <c r="AJ23" i="2"/>
  <c r="AS49" i="2"/>
  <c r="AS47" i="2"/>
  <c r="AL51" i="2"/>
  <c r="AM18" i="2"/>
  <c r="AM17" i="2"/>
  <c r="AN44" i="8"/>
  <c r="AR47" i="2"/>
  <c r="AT6" i="2"/>
  <c r="AM52" i="2"/>
  <c r="AK6" i="2"/>
  <c r="AJ12" i="2"/>
  <c r="AN53" i="8"/>
  <c r="AO13" i="8"/>
  <c r="AT53" i="8"/>
  <c r="AM51" i="8"/>
  <c r="CQ11" i="2"/>
  <c r="AL44" i="2"/>
  <c r="B26" i="2"/>
  <c r="O17" i="2" s="1"/>
  <c r="AR40" i="2"/>
  <c r="AR30" i="2"/>
  <c r="AJ54" i="2"/>
  <c r="AJ45" i="2"/>
  <c r="AJ21" i="2"/>
  <c r="AO42" i="8"/>
  <c r="AO6" i="8"/>
  <c r="AT35" i="8"/>
  <c r="AM19" i="8"/>
  <c r="CQ31" i="2"/>
  <c r="CO26" i="2"/>
  <c r="AJ51" i="2"/>
  <c r="AU46" i="2"/>
  <c r="AR6" i="2"/>
  <c r="AK44" i="2"/>
  <c r="AM47" i="2"/>
  <c r="AJ34" i="2"/>
  <c r="AN52" i="8"/>
  <c r="AL37" i="8"/>
  <c r="B58" i="8"/>
  <c r="B86" i="25" s="1"/>
  <c r="CL48" i="2"/>
  <c r="CO16" i="2"/>
  <c r="CO43" i="2"/>
  <c r="CO50" i="2"/>
  <c r="AL8" i="8"/>
  <c r="AL24" i="8"/>
  <c r="AL40" i="8"/>
  <c r="AM6" i="8"/>
  <c r="AM22" i="8"/>
  <c r="AM38" i="8"/>
  <c r="AM54" i="8"/>
  <c r="AM5" i="2"/>
  <c r="AM21" i="2"/>
  <c r="AL12" i="2"/>
  <c r="AL28" i="2"/>
  <c r="CO34" i="2"/>
  <c r="CO17" i="2"/>
  <c r="CO32" i="2"/>
  <c r="B58" i="2"/>
  <c r="B89" i="22" s="1"/>
  <c r="AL12" i="8"/>
  <c r="AL28" i="8"/>
  <c r="AL44" i="8"/>
  <c r="AM10" i="8"/>
  <c r="AM26" i="8"/>
  <c r="AM42" i="8"/>
  <c r="AK8" i="2"/>
  <c r="AK24" i="2"/>
  <c r="CO37" i="2"/>
  <c r="CO19" i="2"/>
  <c r="CO35" i="2"/>
  <c r="AL13" i="8"/>
  <c r="AL29" i="8"/>
  <c r="AL45" i="8"/>
  <c r="AM11" i="8"/>
  <c r="AM27" i="8"/>
  <c r="AM43" i="8"/>
  <c r="AM9" i="2"/>
  <c r="AM25" i="2"/>
  <c r="AL16" i="2"/>
  <c r="AL32" i="2"/>
  <c r="CO54" i="2"/>
  <c r="CO42" i="2"/>
  <c r="CO4" i="2"/>
  <c r="AL16" i="8"/>
  <c r="AL32" i="8"/>
  <c r="AL48" i="8"/>
  <c r="AM14" i="8"/>
  <c r="AM30" i="8"/>
  <c r="AM46" i="8"/>
  <c r="AM13" i="2"/>
  <c r="AM29" i="2"/>
  <c r="AL20" i="2"/>
  <c r="AL7" i="2"/>
  <c r="AL23" i="2"/>
  <c r="AJ9" i="2"/>
  <c r="AJ25" i="2"/>
  <c r="AL17" i="2"/>
  <c r="AL43" i="2"/>
  <c r="AM28" i="2"/>
  <c r="AK5" i="2"/>
  <c r="AK36" i="2"/>
  <c r="AK11" i="2"/>
  <c r="AK35" i="2"/>
  <c r="AL13" i="2"/>
  <c r="AL47" i="2"/>
  <c r="AK10" i="2"/>
  <c r="AL46" i="2"/>
  <c r="AL45" i="2"/>
  <c r="AK51" i="2"/>
  <c r="AM41" i="2"/>
  <c r="AL9" i="2"/>
  <c r="AJ19" i="2"/>
  <c r="AL36" i="8"/>
  <c r="CO41" i="2"/>
  <c r="H15" i="8"/>
  <c r="I15" i="8" s="1"/>
  <c r="AM54" i="2"/>
  <c r="AL37" i="2"/>
  <c r="AM30" i="2"/>
  <c r="AJ44" i="2"/>
  <c r="AL36" i="2"/>
  <c r="AL41" i="2"/>
  <c r="AM35" i="2"/>
  <c r="AJ43" i="2"/>
  <c r="AK43" i="2"/>
  <c r="AJ35" i="2"/>
  <c r="AK45" i="2"/>
  <c r="AM24" i="2"/>
  <c r="AK40" i="2"/>
  <c r="AM10" i="2"/>
  <c r="AK23" i="2"/>
  <c r="AJ41" i="2"/>
  <c r="AL34" i="2"/>
  <c r="AJ17" i="2"/>
  <c r="AJ30" i="2"/>
  <c r="AL11" i="2"/>
  <c r="AJ15" i="2"/>
  <c r="AK12" i="2"/>
  <c r="AO15" i="8"/>
  <c r="AN36" i="8"/>
  <c r="AO43" i="8"/>
  <c r="AN39" i="8"/>
  <c r="AN9" i="8"/>
  <c r="AO34" i="8"/>
  <c r="AM45" i="8"/>
  <c r="AM13" i="8"/>
  <c r="AL31" i="8"/>
  <c r="CL37" i="2"/>
  <c r="CM37" i="2"/>
  <c r="CM51" i="2"/>
  <c r="CO47" i="2"/>
  <c r="CO12" i="2"/>
  <c r="AR17" i="8"/>
  <c r="AS10" i="8"/>
  <c r="AR15" i="8"/>
  <c r="AR6" i="8"/>
  <c r="AS34" i="8"/>
  <c r="AS37" i="8"/>
  <c r="AS50" i="8"/>
  <c r="AR47" i="8"/>
  <c r="AS14" i="8"/>
  <c r="AS4" i="8"/>
  <c r="AR43" i="8"/>
  <c r="AR4" i="8"/>
  <c r="AS15" i="8"/>
  <c r="AR18" i="8"/>
  <c r="AS17" i="8"/>
  <c r="AR16" i="8"/>
  <c r="AR13" i="8"/>
  <c r="AS43" i="8"/>
  <c r="AR40" i="8"/>
  <c r="AR11" i="8"/>
  <c r="AS48" i="8"/>
  <c r="AS22" i="8"/>
  <c r="AR35" i="8"/>
  <c r="AR48" i="8"/>
  <c r="AS20" i="8"/>
  <c r="AS53" i="8"/>
  <c r="AS27" i="8"/>
  <c r="AS18" i="8"/>
  <c r="AR23" i="8"/>
  <c r="AR14" i="8"/>
  <c r="AR44" i="8"/>
  <c r="AR45" i="8"/>
  <c r="AR29" i="8"/>
  <c r="AS11" i="8"/>
  <c r="AS31" i="8"/>
  <c r="AS29" i="8"/>
  <c r="AR24" i="8"/>
  <c r="AS23" i="8"/>
  <c r="AS7" i="8"/>
  <c r="B70" i="3"/>
  <c r="H70" i="3" s="1"/>
  <c r="J78" i="3" s="1"/>
  <c r="BQ17" i="8" s="1"/>
  <c r="AR37" i="8"/>
  <c r="AR26" i="8"/>
  <c r="AS26" i="8"/>
  <c r="AR22" i="8"/>
  <c r="AS8" i="8"/>
  <c r="AR20" i="8"/>
  <c r="AR33" i="8"/>
  <c r="AS16" i="8"/>
  <c r="AR49" i="8"/>
  <c r="AR27" i="8"/>
  <c r="AS12" i="8"/>
  <c r="AS32" i="8"/>
  <c r="H14" i="8"/>
  <c r="I14" i="8" s="1"/>
  <c r="B23" i="25" s="1"/>
  <c r="AJ4" i="2"/>
  <c r="AM51" i="2"/>
  <c r="AM53" i="2"/>
  <c r="AK17" i="2"/>
  <c r="AL39" i="2"/>
  <c r="AJ24" i="2"/>
  <c r="AJ36" i="2"/>
  <c r="AK25" i="2"/>
  <c r="AJ38" i="2"/>
  <c r="AM32" i="2"/>
  <c r="AK34" i="2"/>
  <c r="AM40" i="2"/>
  <c r="AK19" i="2"/>
  <c r="AM37" i="2"/>
  <c r="AM44" i="2"/>
  <c r="AM20" i="2"/>
  <c r="AL38" i="2"/>
  <c r="AJ33" i="2"/>
  <c r="AL14" i="2"/>
  <c r="AL27" i="2"/>
  <c r="AJ10" i="2"/>
  <c r="AJ11" i="2"/>
  <c r="AN54" i="8"/>
  <c r="AN23" i="8"/>
  <c r="AO45" i="8"/>
  <c r="AO9" i="8"/>
  <c r="AO29" i="8"/>
  <c r="AN20" i="8"/>
  <c r="AN22" i="8"/>
  <c r="AJ42" i="8"/>
  <c r="AK32" i="8"/>
  <c r="AK11" i="8"/>
  <c r="AK19" i="8"/>
  <c r="AJ13" i="8"/>
  <c r="AK17" i="8"/>
  <c r="AS54" i="8"/>
  <c r="AR50" i="8"/>
  <c r="AS39" i="8"/>
  <c r="AS49" i="8"/>
  <c r="AS33" i="8"/>
  <c r="AR8" i="8"/>
  <c r="AR10" i="8"/>
  <c r="AM37" i="8"/>
  <c r="AM5" i="8"/>
  <c r="AL23" i="8"/>
  <c r="CL49" i="2"/>
  <c r="CM31" i="2"/>
  <c r="CM53" i="2"/>
  <c r="CO21" i="2"/>
  <c r="CO6" i="2"/>
  <c r="AH8" i="8"/>
  <c r="AI7" i="8"/>
  <c r="CN18" i="2"/>
  <c r="AH40" i="8"/>
  <c r="B31" i="3"/>
  <c r="B39" i="3" s="1"/>
  <c r="CN25" i="2"/>
  <c r="AH13" i="8"/>
  <c r="AI34" i="8"/>
  <c r="CN11" i="2"/>
  <c r="AI32" i="8"/>
  <c r="AL49" i="2"/>
  <c r="AJ39" i="2"/>
  <c r="AL40" i="2"/>
  <c r="AK13" i="2"/>
  <c r="AL18" i="2"/>
  <c r="AK16" i="2"/>
  <c r="AM50" i="8"/>
  <c r="CO51" i="2"/>
  <c r="AK50" i="2"/>
  <c r="AL21" i="2"/>
  <c r="AL35" i="2"/>
  <c r="AK39" i="2"/>
  <c r="AM43" i="2"/>
  <c r="AL30" i="2"/>
  <c r="AJ6" i="2"/>
  <c r="AO20" i="8"/>
  <c r="AN16" i="8"/>
  <c r="AM35" i="8"/>
  <c r="CL32" i="2"/>
  <c r="AK4" i="2"/>
  <c r="AJ40" i="2"/>
  <c r="AM49" i="2"/>
  <c r="AJ47" i="2"/>
  <c r="AM4" i="2"/>
  <c r="AM27" i="2"/>
  <c r="AJ8" i="2"/>
  <c r="AK18" i="2"/>
  <c r="AL54" i="2"/>
  <c r="AK32" i="2"/>
  <c r="AM6" i="2"/>
  <c r="AL29" i="2"/>
  <c r="AM36" i="2"/>
  <c r="AM8" i="2"/>
  <c r="AK29" i="2"/>
  <c r="AK42" i="2"/>
  <c r="AM12" i="2"/>
  <c r="AJ28" i="2"/>
  <c r="AJ29" i="2"/>
  <c r="AL10" i="2"/>
  <c r="AJ22" i="2"/>
  <c r="AJ31" i="2"/>
  <c r="AJ7" i="2"/>
  <c r="AN48" i="8"/>
  <c r="AO17" i="8"/>
  <c r="AO37" i="8"/>
  <c r="AO44" i="8"/>
  <c r="AO11" i="8"/>
  <c r="AN12" i="8"/>
  <c r="AJ12" i="8"/>
  <c r="AJ20" i="8"/>
  <c r="AK48" i="8"/>
  <c r="AK6" i="8"/>
  <c r="AJ5" i="8"/>
  <c r="AR46" i="8"/>
  <c r="AR39" i="8"/>
  <c r="AR12" i="8"/>
  <c r="AS38" i="8"/>
  <c r="AS24" i="8"/>
  <c r="AS28" i="8"/>
  <c r="AM34" i="8"/>
  <c r="AL52" i="8"/>
  <c r="AL20" i="8"/>
  <c r="B29" i="3"/>
  <c r="CL30" i="2"/>
  <c r="CM20" i="2"/>
  <c r="CM39" i="2"/>
  <c r="CO39" i="2"/>
  <c r="CN42" i="2"/>
  <c r="AF5" i="8"/>
  <c r="AG33" i="8"/>
  <c r="AG31" i="8"/>
  <c r="AG32" i="8"/>
  <c r="AF38" i="8"/>
  <c r="AG11" i="8"/>
  <c r="AG12" i="8"/>
  <c r="AG7" i="8"/>
  <c r="AF36" i="8"/>
  <c r="AF49" i="8"/>
  <c r="AF41" i="8"/>
  <c r="AF54" i="8"/>
  <c r="AF15" i="8"/>
  <c r="AF6" i="8"/>
  <c r="AG34" i="8"/>
  <c r="AF32" i="8"/>
  <c r="AF9" i="8"/>
  <c r="AG40" i="8"/>
  <c r="AF16" i="8"/>
  <c r="AF23" i="8"/>
  <c r="AG10" i="8"/>
  <c r="AG45" i="8"/>
  <c r="AF50" i="8"/>
  <c r="AG42" i="8"/>
  <c r="AF4" i="8"/>
  <c r="AG17" i="8"/>
  <c r="AF13" i="8"/>
  <c r="AG5" i="8"/>
  <c r="AF11" i="8"/>
  <c r="AF10" i="8"/>
  <c r="AF47" i="8"/>
  <c r="AG29" i="8"/>
  <c r="AF27" i="8"/>
  <c r="AG23" i="8"/>
  <c r="AG49" i="8"/>
  <c r="AF51" i="8"/>
  <c r="AG43" i="8"/>
  <c r="AG8" i="8"/>
  <c r="AG28" i="8"/>
  <c r="AF21" i="8"/>
  <c r="AG13" i="8"/>
  <c r="AF19" i="8"/>
  <c r="AF18" i="8"/>
  <c r="AG18" i="8"/>
  <c r="AG39" i="8"/>
  <c r="AF43" i="8"/>
  <c r="AF8" i="8"/>
  <c r="AF24" i="8"/>
  <c r="AG54" i="8"/>
  <c r="AG53" i="8"/>
  <c r="AF34" i="8"/>
  <c r="AF40" i="8"/>
  <c r="AJ50" i="2"/>
  <c r="AK27" i="2"/>
  <c r="AJ42" i="2"/>
  <c r="AJ14" i="2"/>
  <c r="AM18" i="8"/>
  <c r="AO24" i="8"/>
  <c r="AO21" i="8"/>
  <c r="AN29" i="8"/>
  <c r="AN28" i="8"/>
  <c r="AN33" i="8"/>
  <c r="AO16" i="8"/>
  <c r="AO23" i="8"/>
  <c r="AO19" i="8"/>
  <c r="AO49" i="8"/>
  <c r="AN4" i="8"/>
  <c r="AO30" i="8"/>
  <c r="AN43" i="8"/>
  <c r="AN31" i="8"/>
  <c r="AO22" i="8"/>
  <c r="AN30" i="8"/>
  <c r="AN37" i="8"/>
  <c r="AN34" i="8"/>
  <c r="AN27" i="8"/>
  <c r="AO25" i="8"/>
  <c r="AN24" i="8"/>
  <c r="AO50" i="8"/>
  <c r="AN42" i="8"/>
  <c r="AO46" i="8"/>
  <c r="AN51" i="8"/>
  <c r="B69" i="3"/>
  <c r="H69" i="3" s="1"/>
  <c r="G77" i="3" s="1"/>
  <c r="AN5" i="8"/>
  <c r="AO33" i="8"/>
  <c r="AO31" i="8"/>
  <c r="AO32" i="8"/>
  <c r="AN38" i="8"/>
  <c r="AN35" i="8"/>
  <c r="AO28" i="8"/>
  <c r="AO26" i="8"/>
  <c r="AO8" i="8"/>
  <c r="AO12" i="8"/>
  <c r="AO48" i="8"/>
  <c r="AO53" i="8"/>
  <c r="AN7" i="8"/>
  <c r="AN13" i="8"/>
  <c r="AO5" i="8"/>
  <c r="AN11" i="8"/>
  <c r="AN10" i="8"/>
  <c r="AN47" i="8"/>
  <c r="AO41" i="8"/>
  <c r="AO39" i="8"/>
  <c r="AN46" i="8"/>
  <c r="AO36" i="8"/>
  <c r="AO38" i="8"/>
  <c r="AN15" i="8"/>
  <c r="AN26" i="8"/>
  <c r="AN49" i="8"/>
  <c r="AL4" i="2"/>
  <c r="AM50" i="2"/>
  <c r="AK30" i="2"/>
  <c r="AM22" i="2"/>
  <c r="AK9" i="2"/>
  <c r="AM16" i="2"/>
  <c r="AK15" i="2"/>
  <c r="AJ13" i="2"/>
  <c r="AL8" i="2"/>
  <c r="AN40" i="8"/>
  <c r="AN19" i="8"/>
  <c r="AL53" i="8"/>
  <c r="CO46" i="2"/>
  <c r="B68" i="3"/>
  <c r="H68" i="3" s="1"/>
  <c r="J76" i="3" s="1"/>
  <c r="BM16" i="8" s="1"/>
  <c r="AK27" i="8"/>
  <c r="AK18" i="8"/>
  <c r="AJ23" i="8"/>
  <c r="AJ14" i="8"/>
  <c r="AJ44" i="8"/>
  <c r="AK22" i="8"/>
  <c r="AK20" i="8"/>
  <c r="AK14" i="8"/>
  <c r="AK44" i="8"/>
  <c r="AK7" i="8"/>
  <c r="AJ48" i="8"/>
  <c r="AJ43" i="8"/>
  <c r="AK23" i="8"/>
  <c r="B57" i="8"/>
  <c r="B85" i="25" s="1"/>
  <c r="AJ28" i="8"/>
  <c r="AJ25" i="8"/>
  <c r="AK25" i="8"/>
  <c r="AJ21" i="8"/>
  <c r="AJ19" i="8"/>
  <c r="AJ24" i="8"/>
  <c r="AK21" i="8"/>
  <c r="AK16" i="8"/>
  <c r="AK47" i="8"/>
  <c r="AK13" i="8"/>
  <c r="AJ50" i="8"/>
  <c r="AJ47" i="8"/>
  <c r="AK30" i="8"/>
  <c r="AJ37" i="8"/>
  <c r="AJ26" i="8"/>
  <c r="AK26" i="8"/>
  <c r="AJ22" i="8"/>
  <c r="AJ45" i="8"/>
  <c r="AK36" i="8"/>
  <c r="AK38" i="8"/>
  <c r="AK29" i="8"/>
  <c r="AJ40" i="8"/>
  <c r="AJ29" i="8"/>
  <c r="AJ51" i="8"/>
  <c r="AK51" i="8"/>
  <c r="AJ9" i="8"/>
  <c r="AK40" i="8"/>
  <c r="AJ7" i="8"/>
  <c r="AJ36" i="8"/>
  <c r="AJ31" i="8"/>
  <c r="AJ49" i="8"/>
  <c r="AK49" i="8"/>
  <c r="AK42" i="8"/>
  <c r="AJ33" i="8"/>
  <c r="AK53" i="8"/>
  <c r="AJ27" i="8"/>
  <c r="AK4" i="8"/>
  <c r="AK54" i="8"/>
  <c r="AM23" i="2"/>
  <c r="AM7" i="2"/>
  <c r="AL42" i="2"/>
  <c r="AL50" i="2"/>
  <c r="AK14" i="2"/>
  <c r="AL5" i="2"/>
  <c r="AM15" i="2"/>
  <c r="AL53" i="2"/>
  <c r="AK22" i="2"/>
  <c r="AK54" i="2"/>
  <c r="AJ16" i="2"/>
  <c r="AM34" i="2"/>
  <c r="AK48" i="2"/>
  <c r="AM26" i="2"/>
  <c r="AK41" i="2"/>
  <c r="AK7" i="2"/>
  <c r="AL25" i="2"/>
  <c r="AL26" i="2"/>
  <c r="AL6" i="2"/>
  <c r="AL19" i="2"/>
  <c r="AJ27" i="2"/>
  <c r="AK28" i="2"/>
  <c r="AO52" i="8"/>
  <c r="AO4" i="8"/>
  <c r="AO18" i="8"/>
  <c r="AO35" i="8"/>
  <c r="AO40" i="8"/>
  <c r="AN32" i="8"/>
  <c r="AN6" i="8"/>
  <c r="AJ54" i="8"/>
  <c r="AJ52" i="8"/>
  <c r="AJ41" i="8"/>
  <c r="AK46" i="8"/>
  <c r="AK35" i="8"/>
  <c r="AJ38" i="8"/>
  <c r="AS30" i="8"/>
  <c r="AR19" i="8"/>
  <c r="AS13" i="8"/>
  <c r="AS46" i="8"/>
  <c r="AR21" i="8"/>
  <c r="AR25" i="8"/>
  <c r="AM29" i="8"/>
  <c r="AL47" i="8"/>
  <c r="AL15" i="8"/>
  <c r="CO7" i="2"/>
  <c r="CO33" i="2"/>
  <c r="B66" i="3"/>
  <c r="B55" i="8"/>
  <c r="B83" i="25" s="1"/>
  <c r="AM39" i="2"/>
  <c r="AK38" i="2"/>
  <c r="AK46" i="2"/>
  <c r="AK31" i="2"/>
  <c r="AL31" i="2"/>
  <c r="CL45" i="2"/>
  <c r="CL50" i="2"/>
  <c r="CL14" i="2"/>
  <c r="CL11" i="2"/>
  <c r="CL52" i="2"/>
  <c r="AJ53" i="2"/>
  <c r="AM14" i="2"/>
  <c r="AM31" i="2"/>
  <c r="AL33" i="2"/>
  <c r="AK33" i="2"/>
  <c r="AJ37" i="2"/>
  <c r="AJ26" i="2"/>
  <c r="AN25" i="8"/>
  <c r="AO7" i="8"/>
  <c r="AN21" i="8"/>
  <c r="AL21" i="8"/>
  <c r="B56" i="2"/>
  <c r="B87" i="22" s="1"/>
  <c r="CM8" i="2"/>
  <c r="CM18" i="2"/>
  <c r="CM40" i="2"/>
  <c r="CM15" i="2"/>
  <c r="CM36" i="2"/>
  <c r="CM32" i="2"/>
  <c r="CM17" i="2"/>
  <c r="CM47" i="2"/>
  <c r="CM14" i="2"/>
  <c r="CM42" i="2"/>
  <c r="CM21" i="2"/>
  <c r="CM43" i="2"/>
  <c r="AK26" i="2"/>
  <c r="AL48" i="2"/>
  <c r="AM46" i="2"/>
  <c r="AK49" i="2"/>
  <c r="AM11" i="2"/>
  <c r="AL52" i="2"/>
  <c r="AK52" i="2"/>
  <c r="AJ52" i="2"/>
  <c r="AM19" i="2"/>
  <c r="AK53" i="2"/>
  <c r="AM48" i="2"/>
  <c r="AM33" i="2"/>
  <c r="AK47" i="2"/>
  <c r="AK21" i="2"/>
  <c r="AM38" i="2"/>
  <c r="AJ49" i="2"/>
  <c r="AJ20" i="2"/>
  <c r="AL22" i="2"/>
  <c r="AJ5" i="2"/>
  <c r="AJ18" i="2"/>
  <c r="AL24" i="2"/>
  <c r="AK20" i="2"/>
  <c r="AN41" i="8"/>
  <c r="AO54" i="8"/>
  <c r="AN8" i="8"/>
  <c r="AO10" i="8"/>
  <c r="AO27" i="8"/>
  <c r="AO14" i="8"/>
  <c r="AJ30" i="8"/>
  <c r="AK31" i="8"/>
  <c r="AK39" i="8"/>
  <c r="AK15" i="8"/>
  <c r="AK43" i="8"/>
  <c r="AJ16" i="8"/>
  <c r="AJ18" i="8"/>
  <c r="AR54" i="8"/>
  <c r="AR51" i="8"/>
  <c r="AS42" i="8"/>
  <c r="AS36" i="8"/>
  <c r="AR5" i="8"/>
  <c r="AS9" i="8"/>
  <c r="AM53" i="8"/>
  <c r="AM21" i="8"/>
  <c r="AL39" i="8"/>
  <c r="AL7" i="8"/>
  <c r="B59" i="8"/>
  <c r="B87" i="25" s="1"/>
  <c r="CL7" i="2"/>
  <c r="CM54" i="2"/>
  <c r="CO29" i="2"/>
  <c r="CO25" i="2"/>
  <c r="CF13" i="2"/>
  <c r="CF4" i="2"/>
  <c r="CQ4" i="2"/>
  <c r="CQ20" i="2"/>
  <c r="CQ22" i="2"/>
  <c r="CQ46" i="2"/>
  <c r="CQ34" i="2"/>
  <c r="CQ6" i="2"/>
  <c r="CQ47" i="2"/>
  <c r="CQ5" i="2"/>
  <c r="CQ23" i="2"/>
  <c r="CQ45" i="2"/>
  <c r="CQ8" i="2"/>
  <c r="CQ15" i="2"/>
  <c r="CQ21" i="2"/>
  <c r="CQ50" i="2"/>
  <c r="CQ9" i="2"/>
  <c r="CQ26" i="2"/>
  <c r="CQ54" i="2"/>
  <c r="CQ51" i="2"/>
  <c r="CQ48" i="2"/>
  <c r="CQ24" i="2"/>
  <c r="CQ18" i="2"/>
  <c r="CQ7" i="2"/>
  <c r="CQ37" i="2"/>
  <c r="CQ38" i="2"/>
  <c r="CQ25" i="2"/>
  <c r="CQ36" i="2"/>
  <c r="CQ53" i="2"/>
  <c r="AT23" i="8"/>
  <c r="CQ49" i="2"/>
  <c r="CQ29" i="2"/>
  <c r="CQ27" i="2"/>
  <c r="AU10" i="8"/>
  <c r="AT47" i="8"/>
  <c r="AU31" i="8"/>
  <c r="AT17" i="8"/>
  <c r="AT49" i="8"/>
  <c r="AT46" i="8"/>
  <c r="AU6" i="8"/>
  <c r="AU38" i="8"/>
  <c r="AT42" i="8"/>
  <c r="AU13" i="8"/>
  <c r="AU27" i="8"/>
  <c r="AT24" i="8"/>
  <c r="AU16" i="8"/>
  <c r="AU5" i="2"/>
  <c r="AU21" i="2"/>
  <c r="AT12" i="2"/>
  <c r="AT28" i="2"/>
  <c r="AT15" i="2"/>
  <c r="AT31" i="2"/>
  <c r="AR17" i="2"/>
  <c r="AR33" i="2"/>
  <c r="AT29" i="2"/>
  <c r="AS11" i="2"/>
  <c r="AS41" i="2"/>
  <c r="AU22" i="2"/>
  <c r="AS40" i="2"/>
  <c r="AS23" i="2"/>
  <c r="AS46" i="2"/>
  <c r="AS53" i="2"/>
  <c r="AU23" i="2"/>
  <c r="AT54" i="2"/>
  <c r="AS22" i="2"/>
  <c r="AS48" i="2"/>
  <c r="AT25" i="2"/>
  <c r="AS18" i="2"/>
  <c r="AS5" i="2"/>
  <c r="AR36" i="2"/>
  <c r="AU53" i="2"/>
  <c r="AR54" i="2"/>
  <c r="CQ52" i="2"/>
  <c r="CQ35" i="2"/>
  <c r="CQ30" i="2"/>
  <c r="AT15" i="8"/>
  <c r="AU50" i="8"/>
  <c r="AT36" i="8"/>
  <c r="AU20" i="8"/>
  <c r="AU52" i="8"/>
  <c r="AT54" i="8"/>
  <c r="AT11" i="8"/>
  <c r="AT43" i="8"/>
  <c r="AU51" i="8"/>
  <c r="AT26" i="8"/>
  <c r="AT40" i="8"/>
  <c r="AU32" i="8"/>
  <c r="AT29" i="8"/>
  <c r="AS8" i="2"/>
  <c r="AS24" i="2"/>
  <c r="AR15" i="2"/>
  <c r="AR31" i="2"/>
  <c r="AR18" i="2"/>
  <c r="AR34" i="2"/>
  <c r="AT18" i="2"/>
  <c r="AT34" i="2"/>
  <c r="AR37" i="2"/>
  <c r="AU16" i="2"/>
  <c r="CQ40" i="2"/>
  <c r="CQ28" i="2"/>
  <c r="CQ41" i="2"/>
  <c r="AU18" i="8"/>
  <c r="AU7" i="8"/>
  <c r="AU39" i="8"/>
  <c r="AT25" i="8"/>
  <c r="AT6" i="8"/>
  <c r="B34" i="3"/>
  <c r="B42" i="3" s="1"/>
  <c r="AU14" i="8"/>
  <c r="AU46" i="8"/>
  <c r="AT13" i="8"/>
  <c r="AU35" i="8"/>
  <c r="AU48" i="8"/>
  <c r="AT45" i="8"/>
  <c r="AU37" i="8"/>
  <c r="AU9" i="2"/>
  <c r="AU25" i="2"/>
  <c r="AT16" i="2"/>
  <c r="AT32" i="2"/>
  <c r="AT19" i="2"/>
  <c r="AR5" i="2"/>
  <c r="AR21" i="2"/>
  <c r="AT5" i="2"/>
  <c r="AT38" i="2"/>
  <c r="AS19" i="2"/>
  <c r="AU43" i="2"/>
  <c r="AU30" i="2"/>
  <c r="AU42" i="2"/>
  <c r="AS31" i="2"/>
  <c r="AU48" i="2"/>
  <c r="AS13" i="2"/>
  <c r="AT39" i="2"/>
  <c r="AU39" i="2"/>
  <c r="AT33" i="2"/>
  <c r="AR50" i="2"/>
  <c r="AU32" i="2"/>
  <c r="AT35" i="2"/>
  <c r="AS21" i="2"/>
  <c r="AR53" i="2"/>
  <c r="AU11" i="2"/>
  <c r="CQ12" i="2"/>
  <c r="CQ10" i="2"/>
  <c r="CQ39" i="2"/>
  <c r="B60" i="2"/>
  <c r="B91" i="22" s="1"/>
  <c r="AT39" i="8"/>
  <c r="AU23" i="8"/>
  <c r="AT9" i="8"/>
  <c r="AT41" i="8"/>
  <c r="AU33" i="8"/>
  <c r="AU41" i="8"/>
  <c r="AU30" i="8"/>
  <c r="AT21" i="8"/>
  <c r="AU11" i="8"/>
  <c r="AU5" i="8"/>
  <c r="AU40" i="8"/>
  <c r="AU4" i="8"/>
  <c r="AU17" i="2"/>
  <c r="AT8" i="2"/>
  <c r="AT24" i="2"/>
  <c r="AT11" i="2"/>
  <c r="AT27" i="2"/>
  <c r="AR13" i="2"/>
  <c r="AR29" i="2"/>
  <c r="AT21" i="2"/>
  <c r="AT44" i="2"/>
  <c r="AS37" i="2"/>
  <c r="AU14" i="2"/>
  <c r="AS36" i="2"/>
  <c r="AS15" i="2"/>
  <c r="AU40" i="2"/>
  <c r="AR39" i="2"/>
  <c r="AU7" i="2"/>
  <c r="AR52" i="2"/>
  <c r="AS6" i="2"/>
  <c r="AT42" i="2"/>
  <c r="AT9" i="2"/>
  <c r="AT47" i="2"/>
  <c r="AT49" i="2"/>
  <c r="AU45" i="2"/>
  <c r="AS14" i="2"/>
  <c r="AU50" i="2"/>
  <c r="CQ19" i="2"/>
  <c r="CQ44" i="2"/>
  <c r="AT7" i="8"/>
  <c r="AT28" i="8"/>
  <c r="AU44" i="8"/>
  <c r="AU49" i="8"/>
  <c r="AU29" i="8"/>
  <c r="AT18" i="8"/>
  <c r="AT8" i="8"/>
  <c r="AR11" i="2"/>
  <c r="AR14" i="2"/>
  <c r="AT14" i="2"/>
  <c r="AR24" i="2"/>
  <c r="AU38" i="2"/>
  <c r="AU33" i="2"/>
  <c r="AU28" i="2"/>
  <c r="AT36" i="2"/>
  <c r="AR44" i="2"/>
  <c r="AU19" i="2"/>
  <c r="AT52" i="2"/>
  <c r="AU31" i="2"/>
  <c r="AS43" i="2"/>
  <c r="AU49" i="2"/>
  <c r="AS12" i="2"/>
  <c r="AR19" i="2"/>
  <c r="AT22" i="2"/>
  <c r="AR41" i="2"/>
  <c r="AU34" i="2"/>
  <c r="AS35" i="2"/>
  <c r="AT46" i="2"/>
  <c r="AU4" i="2"/>
  <c r="AU27" i="2"/>
  <c r="AS50" i="2"/>
  <c r="AU34" i="8"/>
  <c r="AU43" i="8"/>
  <c r="AT26" i="2"/>
  <c r="AU41" i="2"/>
  <c r="AT37" i="2"/>
  <c r="CQ16" i="2"/>
  <c r="AU26" i="8"/>
  <c r="AT44" i="8"/>
  <c r="AU17" i="8"/>
  <c r="AT19" i="8"/>
  <c r="AU21" i="8"/>
  <c r="AT10" i="8"/>
  <c r="AT50" i="8"/>
  <c r="AR22" i="2"/>
  <c r="AS42" i="2"/>
  <c r="AR46" i="2"/>
  <c r="AR32" i="2"/>
  <c r="AR38" i="2"/>
  <c r="AT52" i="8"/>
  <c r="AT32" i="8"/>
  <c r="AR26" i="2"/>
  <c r="AS39" i="2"/>
  <c r="CQ32" i="2"/>
  <c r="AT31" i="8"/>
  <c r="AU47" i="8"/>
  <c r="AU25" i="8"/>
  <c r="AU22" i="8"/>
  <c r="AT34" i="8"/>
  <c r="AU19" i="8"/>
  <c r="AT4" i="8"/>
  <c r="AU13" i="2"/>
  <c r="AT20" i="2"/>
  <c r="AT23" i="2"/>
  <c r="AR25" i="2"/>
  <c r="AR42" i="2"/>
  <c r="AU44" i="2"/>
  <c r="AU37" i="2"/>
  <c r="AU36" i="2"/>
  <c r="AS54" i="2"/>
  <c r="AR51" i="2"/>
  <c r="AS34" i="2"/>
  <c r="AR12" i="2"/>
  <c r="AR43" i="2"/>
  <c r="AU52" i="2"/>
  <c r="AT48" i="2"/>
  <c r="CQ43" i="2"/>
  <c r="AT30" i="8"/>
  <c r="AR23" i="2"/>
  <c r="AU6" i="2"/>
  <c r="AT53" i="2"/>
  <c r="CQ17" i="2"/>
  <c r="CQ33" i="2"/>
  <c r="AU15" i="8"/>
  <c r="AT33" i="8"/>
  <c r="AT14" i="8"/>
  <c r="AU54" i="8"/>
  <c r="AU53" i="8"/>
  <c r="AU24" i="8"/>
  <c r="AU29" i="2"/>
  <c r="AT7" i="2"/>
  <c r="AR9" i="2"/>
  <c r="AT13" i="2"/>
  <c r="AS27" i="2"/>
  <c r="AS25" i="2"/>
  <c r="AU12" i="2"/>
  <c r="AT17" i="2"/>
  <c r="AS10" i="2"/>
  <c r="AR48" i="2"/>
  <c r="AR49" i="2"/>
  <c r="AR45" i="2"/>
  <c r="AU35" i="2"/>
  <c r="AS52" i="2"/>
  <c r="AS4" i="2"/>
  <c r="CQ14" i="2"/>
  <c r="CQ42" i="2"/>
  <c r="AT20" i="8"/>
  <c r="AU36" i="8"/>
  <c r="AT22" i="8"/>
  <c r="AU8" i="8"/>
  <c r="AT37" i="8"/>
  <c r="AU45" i="8"/>
  <c r="AR7" i="2"/>
  <c r="AR10" i="2"/>
  <c r="AT10" i="2"/>
  <c r="AR16" i="2"/>
  <c r="AS33" i="2"/>
  <c r="AS32" i="2"/>
  <c r="AU20" i="2"/>
  <c r="AR20" i="2"/>
  <c r="AS26" i="2"/>
  <c r="AS51" i="2"/>
  <c r="AT51" i="2"/>
  <c r="AU15" i="2"/>
  <c r="AS38" i="2"/>
  <c r="AU54" i="2"/>
  <c r="AT27" i="8"/>
  <c r="AS16" i="2"/>
  <c r="AT43" i="2"/>
  <c r="AU26" i="2"/>
  <c r="AT50" i="2"/>
  <c r="AU10" i="2"/>
  <c r="AS9" i="2"/>
  <c r="AR27" i="2"/>
  <c r="AT16" i="8"/>
  <c r="AU28" i="8"/>
  <c r="CQ13" i="2"/>
  <c r="CF39" i="2"/>
  <c r="CF33" i="2"/>
  <c r="CF49" i="2"/>
  <c r="AR4" i="2"/>
  <c r="AT40" i="2"/>
  <c r="AS29" i="2"/>
  <c r="AU8" i="2"/>
  <c r="AS20" i="2"/>
  <c r="AT48" i="8"/>
  <c r="AT12" i="8"/>
  <c r="CF21" i="2"/>
  <c r="CF5" i="2"/>
  <c r="CF6" i="2"/>
  <c r="AU51" i="2"/>
  <c r="AR35" i="2"/>
  <c r="AU47" i="2"/>
  <c r="AR8" i="2"/>
  <c r="AT5" i="8"/>
  <c r="AU42" i="8"/>
  <c r="CF35" i="2"/>
  <c r="CF40" i="2"/>
  <c r="CF51" i="2"/>
  <c r="AS30" i="2"/>
  <c r="AR28" i="2"/>
  <c r="AS45" i="2"/>
  <c r="AT30" i="2"/>
  <c r="AT51" i="8"/>
  <c r="CF30" i="2"/>
  <c r="CF38" i="2"/>
  <c r="CF37" i="2"/>
  <c r="CF12" i="2"/>
  <c r="CN12" i="2"/>
  <c r="CN44" i="2"/>
  <c r="CN45" i="2"/>
  <c r="CN13" i="2"/>
  <c r="CN38" i="2"/>
  <c r="CN49" i="2"/>
  <c r="AI25" i="8"/>
  <c r="AI6" i="8"/>
  <c r="AI38" i="8"/>
  <c r="AH16" i="8"/>
  <c r="AH48" i="8"/>
  <c r="AI40" i="8"/>
  <c r="AI29" i="8"/>
  <c r="AH45" i="8"/>
  <c r="AH20" i="8"/>
  <c r="AI10" i="8"/>
  <c r="AI44" i="8"/>
  <c r="AH12" i="8"/>
  <c r="CN6" i="2"/>
  <c r="CN16" i="2"/>
  <c r="CN48" i="2"/>
  <c r="CN50" i="2"/>
  <c r="CN27" i="2"/>
  <c r="CN41" i="2"/>
  <c r="CN4" i="2"/>
  <c r="AH30" i="8"/>
  <c r="AH11" i="8"/>
  <c r="AH43" i="8"/>
  <c r="AI19" i="8"/>
  <c r="AI51" i="8"/>
  <c r="AI48" i="8"/>
  <c r="AH34" i="8"/>
  <c r="AH53" i="8"/>
  <c r="AH41" i="8"/>
  <c r="AH23" i="8"/>
  <c r="AH7" i="8"/>
  <c r="CN10" i="2"/>
  <c r="CN20" i="2"/>
  <c r="CN52" i="2"/>
  <c r="CN15" i="2"/>
  <c r="CN30" i="2"/>
  <c r="CN23" i="2"/>
  <c r="CN31" i="2"/>
  <c r="AI4" i="8"/>
  <c r="AI33" i="8"/>
  <c r="AI14" i="8"/>
  <c r="AI46" i="8"/>
  <c r="AH24" i="8"/>
  <c r="AI8" i="8"/>
  <c r="AI5" i="8"/>
  <c r="AI37" i="8"/>
  <c r="AH42" i="8"/>
  <c r="AH9" i="8"/>
  <c r="AI31" i="8"/>
  <c r="AI15" i="8"/>
  <c r="AH33" i="8"/>
  <c r="CN5" i="2"/>
  <c r="CN32" i="2"/>
  <c r="CN51" i="2"/>
  <c r="CN39" i="2"/>
  <c r="CN53" i="2"/>
  <c r="CN7" i="2"/>
  <c r="B57" i="2"/>
  <c r="B88" i="22" s="1"/>
  <c r="AH14" i="8"/>
  <c r="AH46" i="8"/>
  <c r="AH27" i="8"/>
  <c r="AH4" i="8"/>
  <c r="AI35" i="8"/>
  <c r="AH21" i="8"/>
  <c r="AH18" i="8"/>
  <c r="AH5" i="8"/>
  <c r="AI26" i="8"/>
  <c r="AI39" i="8"/>
  <c r="AH15" i="8"/>
  <c r="AH49" i="8"/>
  <c r="AI12" i="8"/>
  <c r="CN24" i="2"/>
  <c r="CN17" i="2"/>
  <c r="CN26" i="2"/>
  <c r="AH54" i="8"/>
  <c r="AI11" i="8"/>
  <c r="AH29" i="8"/>
  <c r="AH37" i="8"/>
  <c r="AI50" i="8"/>
  <c r="AI28" i="8"/>
  <c r="AG10" i="2"/>
  <c r="AG26" i="2"/>
  <c r="AF13" i="2"/>
  <c r="AF29" i="2"/>
  <c r="AF16" i="2"/>
  <c r="AF32" i="2"/>
  <c r="AF19" i="2"/>
  <c r="AF35" i="2"/>
  <c r="AF34" i="2"/>
  <c r="AG5" i="2"/>
  <c r="AG34" i="2"/>
  <c r="AI8" i="2"/>
  <c r="AI35" i="2"/>
  <c r="AG9" i="2"/>
  <c r="AG41" i="2"/>
  <c r="AI32" i="2"/>
  <c r="AF48" i="2"/>
  <c r="AH50" i="2"/>
  <c r="AG8" i="2"/>
  <c r="AF53" i="2"/>
  <c r="AH44" i="2"/>
  <c r="AF52" i="2"/>
  <c r="AI42" i="2"/>
  <c r="AF50" i="2"/>
  <c r="AI33" i="2"/>
  <c r="CN28" i="2"/>
  <c r="CN19" i="2"/>
  <c r="CN29" i="2"/>
  <c r="AH6" i="8"/>
  <c r="AH19" i="8"/>
  <c r="AI27" i="8"/>
  <c r="AH10" i="8"/>
  <c r="AH50" i="8"/>
  <c r="AH44" i="8"/>
  <c r="AI20" i="8"/>
  <c r="AI11" i="2"/>
  <c r="AI27" i="2"/>
  <c r="AH14" i="2"/>
  <c r="AH30" i="2"/>
  <c r="AH17" i="2"/>
  <c r="AH33" i="2"/>
  <c r="AH20" i="2"/>
  <c r="AH7" i="2"/>
  <c r="AH36" i="2"/>
  <c r="AI10" i="2"/>
  <c r="AG35" i="2"/>
  <c r="AG11" i="2"/>
  <c r="AG38" i="2"/>
  <c r="AI14" i="2"/>
  <c r="AG42" i="2"/>
  <c r="AH38" i="2"/>
  <c r="AF49" i="2"/>
  <c r="AI12" i="2"/>
  <c r="AI21" i="2"/>
  <c r="AF54" i="2"/>
  <c r="AI17" i="2"/>
  <c r="AH53" i="2"/>
  <c r="AG16" i="2"/>
  <c r="AG51" i="2"/>
  <c r="AH45" i="2"/>
  <c r="CN36" i="2"/>
  <c r="CN47" i="2"/>
  <c r="CN43" i="2"/>
  <c r="AI9" i="8"/>
  <c r="AI22" i="8"/>
  <c r="AH32" i="8"/>
  <c r="AI13" i="8"/>
  <c r="AH17" i="8"/>
  <c r="AI52" i="8"/>
  <c r="AI42" i="8"/>
  <c r="AG14" i="2"/>
  <c r="AG30" i="2"/>
  <c r="AF17" i="2"/>
  <c r="AF33" i="2"/>
  <c r="AF20" i="2"/>
  <c r="AF7" i="2"/>
  <c r="AF23" i="2"/>
  <c r="AF10" i="2"/>
  <c r="AF39" i="2"/>
  <c r="AG13" i="2"/>
  <c r="AI36" i="2"/>
  <c r="AI16" i="2"/>
  <c r="AI39" i="2"/>
  <c r="AG17" i="2"/>
  <c r="AI43" i="2"/>
  <c r="AF41" i="2"/>
  <c r="AI9" i="2"/>
  <c r="AG15" i="2"/>
  <c r="AG24" i="2"/>
  <c r="AH11" i="2"/>
  <c r="AG20" i="2"/>
  <c r="AH54" i="2"/>
  <c r="AG54" i="2"/>
  <c r="AI54" i="2"/>
  <c r="AG47" i="2"/>
  <c r="AF4" i="2"/>
  <c r="CN9" i="2"/>
  <c r="CN54" i="2"/>
  <c r="CN34" i="2"/>
  <c r="AI41" i="8"/>
  <c r="AI54" i="8"/>
  <c r="AI16" i="8"/>
  <c r="AI53" i="8"/>
  <c r="AH31" i="8"/>
  <c r="AI36" i="8"/>
  <c r="AH47" i="8"/>
  <c r="AG6" i="2"/>
  <c r="AG22" i="2"/>
  <c r="AF9" i="2"/>
  <c r="AF25" i="2"/>
  <c r="AF12" i="2"/>
  <c r="AF28" i="2"/>
  <c r="AF15" i="2"/>
  <c r="AF31" i="2"/>
  <c r="AF26" i="2"/>
  <c r="AH47" i="2"/>
  <c r="AG29" i="2"/>
  <c r="AG46" i="2"/>
  <c r="AG32" i="2"/>
  <c r="AI46" i="2"/>
  <c r="AG37" i="2"/>
  <c r="AH19" i="2"/>
  <c r="AI52" i="2"/>
  <c r="AF36" i="2"/>
  <c r="AI50" i="2"/>
  <c r="AG48" i="2"/>
  <c r="AF37" i="2"/>
  <c r="AF47" i="2"/>
  <c r="AI37" i="2"/>
  <c r="AF43" i="2"/>
  <c r="AI48" i="2"/>
  <c r="AH35" i="2"/>
  <c r="CF20" i="2"/>
  <c r="CF45" i="2"/>
  <c r="AI53" i="2"/>
  <c r="AG53" i="2"/>
  <c r="AF40" i="2"/>
  <c r="AF44" i="2"/>
  <c r="AI25" i="2"/>
  <c r="AG49" i="2"/>
  <c r="AG44" i="2"/>
  <c r="AI40" i="2"/>
  <c r="AF45" i="2"/>
  <c r="AF27" i="2"/>
  <c r="AF24" i="2"/>
  <c r="AF21" i="2"/>
  <c r="AG18" i="2"/>
  <c r="AH25" i="8"/>
  <c r="AI47" i="8"/>
  <c r="AI43" i="8"/>
  <c r="AH22" i="8"/>
  <c r="CN33" i="2"/>
  <c r="CN14" i="2"/>
  <c r="CF15" i="2"/>
  <c r="CF41" i="2"/>
  <c r="CF44" i="2"/>
  <c r="AH36" i="8"/>
  <c r="AH26" i="8"/>
  <c r="AH35" i="8"/>
  <c r="CN37" i="2"/>
  <c r="CN22" i="2"/>
  <c r="CL4" i="2"/>
  <c r="CL13" i="2"/>
  <c r="CL27" i="2"/>
  <c r="CL33" i="2"/>
  <c r="CL53" i="2"/>
  <c r="CL16" i="2"/>
  <c r="CL40" i="2"/>
  <c r="B55" i="2"/>
  <c r="B86" i="22" s="1"/>
  <c r="CL17" i="2"/>
  <c r="CL31" i="2"/>
  <c r="CL36" i="2"/>
  <c r="CL18" i="2"/>
  <c r="CL20" i="2"/>
  <c r="CL10" i="2"/>
  <c r="CL8" i="2"/>
  <c r="CL35" i="2"/>
  <c r="CL44" i="2"/>
  <c r="CL29" i="2"/>
  <c r="CL46" i="2"/>
  <c r="CL22" i="2"/>
  <c r="CL15" i="2"/>
  <c r="CL47" i="2"/>
  <c r="CL21" i="2"/>
  <c r="CL6" i="2"/>
  <c r="CL12" i="2"/>
  <c r="CL54" i="2"/>
  <c r="CL39" i="2"/>
  <c r="CL38" i="2"/>
  <c r="CL25" i="2"/>
  <c r="CL43" i="2"/>
  <c r="CL41" i="2"/>
  <c r="CL28" i="2"/>
  <c r="CL5" i="2"/>
  <c r="CL51" i="2"/>
  <c r="CL26" i="2"/>
  <c r="CL42" i="2"/>
  <c r="CL19" i="2"/>
  <c r="CL24" i="2"/>
  <c r="CL34" i="2"/>
  <c r="AI23" i="8"/>
  <c r="AI21" i="8"/>
  <c r="AI30" i="8"/>
  <c r="CN46" i="2"/>
  <c r="CN40" i="2"/>
  <c r="CF24" i="2"/>
  <c r="CF52" i="2"/>
  <c r="CF29" i="2"/>
  <c r="CF16" i="2"/>
  <c r="Q4" i="2"/>
  <c r="R4" i="2" s="1"/>
  <c r="CF19" i="2"/>
  <c r="CF50" i="2"/>
  <c r="AI49" i="2"/>
  <c r="AF51" i="2"/>
  <c r="AH49" i="2"/>
  <c r="AH41" i="2"/>
  <c r="AF22" i="2"/>
  <c r="AI6" i="2"/>
  <c r="AI47" i="2"/>
  <c r="AH48" i="2"/>
  <c r="AH32" i="2"/>
  <c r="AH29" i="2"/>
  <c r="AH26" i="2"/>
  <c r="AI23" i="2"/>
  <c r="AH52" i="8"/>
  <c r="AI24" i="8"/>
  <c r="AI49" i="8"/>
  <c r="CL9" i="2"/>
  <c r="CN35" i="2"/>
  <c r="CN8" i="2"/>
  <c r="CP10" i="2"/>
  <c r="CP33" i="2"/>
  <c r="CP46" i="2"/>
  <c r="CP14" i="2"/>
  <c r="CP24" i="2"/>
  <c r="CP18" i="2"/>
  <c r="AQ9" i="8"/>
  <c r="AQ17" i="8"/>
  <c r="AQ25" i="8"/>
  <c r="AQ33" i="8"/>
  <c r="AQ41" i="8"/>
  <c r="AQ49" i="8"/>
  <c r="AP28" i="8"/>
  <c r="AP41" i="8"/>
  <c r="AP54" i="8"/>
  <c r="AP27" i="8"/>
  <c r="AP5" i="8"/>
  <c r="AP10" i="8"/>
  <c r="AP50" i="8"/>
  <c r="CP5" i="2"/>
  <c r="CP37" i="2"/>
  <c r="CP34" i="2"/>
  <c r="CP23" i="2"/>
  <c r="CP27" i="2"/>
  <c r="CP32" i="2"/>
  <c r="AQ10" i="8"/>
  <c r="AQ18" i="8"/>
  <c r="AQ26" i="8"/>
  <c r="AQ34" i="8"/>
  <c r="AQ42" i="8"/>
  <c r="AQ50" i="8"/>
  <c r="AP36" i="8"/>
  <c r="AP49" i="8"/>
  <c r="AP11" i="8"/>
  <c r="AP8" i="8"/>
  <c r="AP26" i="8"/>
  <c r="AP31" i="8"/>
  <c r="AP42" i="8"/>
  <c r="CP9" i="2"/>
  <c r="CP41" i="2"/>
  <c r="CP36" i="2"/>
  <c r="CP8" i="2"/>
  <c r="CP30" i="2"/>
  <c r="CP35" i="2"/>
  <c r="AQ11" i="8"/>
  <c r="AQ19" i="8"/>
  <c r="AQ27" i="8"/>
  <c r="AQ35" i="8"/>
  <c r="AQ43" i="8"/>
  <c r="AQ51" i="8"/>
  <c r="AP44" i="8"/>
  <c r="AP6" i="8"/>
  <c r="AP35" i="8"/>
  <c r="AP16" i="8"/>
  <c r="AP47" i="8"/>
  <c r="AP53" i="8"/>
  <c r="CP15" i="2"/>
  <c r="CP21" i="2"/>
  <c r="CP53" i="2"/>
  <c r="CP31" i="2"/>
  <c r="CP54" i="2"/>
  <c r="CP47" i="2"/>
  <c r="CP52" i="2"/>
  <c r="AQ6" i="8"/>
  <c r="AQ14" i="8"/>
  <c r="AQ22" i="8"/>
  <c r="AQ30" i="8"/>
  <c r="AQ38" i="8"/>
  <c r="AQ46" i="8"/>
  <c r="AQ54" i="8"/>
  <c r="AP17" i="8"/>
  <c r="AP30" i="8"/>
  <c r="AP40" i="8"/>
  <c r="AP13" i="8"/>
  <c r="AP39" i="8"/>
  <c r="B33" i="3"/>
  <c r="B41" i="3" s="1"/>
  <c r="CM5" i="2"/>
  <c r="CM45" i="2"/>
  <c r="CM13" i="2"/>
  <c r="CM24" i="2"/>
  <c r="CM23" i="2"/>
  <c r="CM46" i="2"/>
  <c r="CM10" i="2"/>
  <c r="CM7" i="2"/>
  <c r="CM48" i="2"/>
  <c r="CM27" i="2"/>
  <c r="CM35" i="2"/>
  <c r="CM26" i="2"/>
  <c r="CM49" i="2"/>
  <c r="CM22" i="2"/>
  <c r="B30" i="3"/>
  <c r="CM11" i="2"/>
  <c r="CM30" i="2"/>
  <c r="CM33" i="2"/>
  <c r="CM44" i="2"/>
  <c r="CM29" i="2"/>
  <c r="CM52" i="2"/>
  <c r="CM25" i="2"/>
  <c r="CM19" i="2"/>
  <c r="CM41" i="2"/>
  <c r="CM38" i="2"/>
  <c r="CM6" i="2"/>
  <c r="CM16" i="2"/>
  <c r="CM34" i="2"/>
  <c r="CO10" i="2"/>
  <c r="CO11" i="2"/>
  <c r="CO49" i="2"/>
  <c r="CO45" i="2"/>
  <c r="CO53" i="2"/>
  <c r="CO14" i="2"/>
  <c r="AL9" i="8"/>
  <c r="AL17" i="8"/>
  <c r="AL25" i="8"/>
  <c r="AL33" i="8"/>
  <c r="AL41" i="8"/>
  <c r="AL49" i="8"/>
  <c r="AM7" i="8"/>
  <c r="AM15" i="8"/>
  <c r="AM23" i="8"/>
  <c r="AM31" i="8"/>
  <c r="AM39" i="8"/>
  <c r="AM47" i="8"/>
  <c r="AM4" i="8"/>
  <c r="CO28" i="2"/>
  <c r="CO13" i="2"/>
  <c r="CO5" i="2"/>
  <c r="CO30" i="2"/>
  <c r="CO9" i="2"/>
  <c r="CO20" i="2"/>
  <c r="AL10" i="8"/>
  <c r="AL18" i="8"/>
  <c r="AL26" i="8"/>
  <c r="AL34" i="8"/>
  <c r="AL42" i="8"/>
  <c r="AL50" i="8"/>
  <c r="AM8" i="8"/>
  <c r="AM16" i="8"/>
  <c r="AM24" i="8"/>
  <c r="AM32" i="8"/>
  <c r="AM40" i="8"/>
  <c r="AM48" i="8"/>
  <c r="AL4" i="8"/>
  <c r="CO31" i="2"/>
  <c r="CO27" i="2"/>
  <c r="CO15" i="2"/>
  <c r="CO40" i="2"/>
  <c r="CO18" i="2"/>
  <c r="CO23" i="2"/>
  <c r="AL11" i="8"/>
  <c r="AL19" i="8"/>
  <c r="AL27" i="8"/>
  <c r="AL35" i="8"/>
  <c r="AL43" i="8"/>
  <c r="AL51" i="8"/>
  <c r="AM9" i="8"/>
  <c r="AM17" i="8"/>
  <c r="AM25" i="8"/>
  <c r="AM33" i="8"/>
  <c r="AM41" i="8"/>
  <c r="AM49" i="8"/>
  <c r="B32" i="3"/>
  <c r="B40" i="3" s="1"/>
  <c r="CO8" i="2"/>
  <c r="CO48" i="2"/>
  <c r="CO24" i="2"/>
  <c r="CO36" i="2"/>
  <c r="CO44" i="2"/>
  <c r="CO38" i="2"/>
  <c r="CO52" i="2"/>
  <c r="AL6" i="8"/>
  <c r="AL14" i="8"/>
  <c r="AL22" i="8"/>
  <c r="AL30" i="8"/>
  <c r="AL38" i="8"/>
  <c r="AL46" i="8"/>
  <c r="AL54" i="8"/>
  <c r="AM12" i="8"/>
  <c r="AM20" i="8"/>
  <c r="AM28" i="8"/>
  <c r="AM36" i="8"/>
  <c r="AM44" i="8"/>
  <c r="AM52" i="8"/>
  <c r="CV7" i="8"/>
  <c r="M7" i="8"/>
  <c r="Q7" i="8"/>
  <c r="S7" i="8" s="1"/>
  <c r="CV18" i="8"/>
  <c r="M18" i="8"/>
  <c r="Q18" i="8"/>
  <c r="Y18" i="8" s="1"/>
  <c r="CV22" i="8"/>
  <c r="M22" i="8"/>
  <c r="BX22" i="8" s="1"/>
  <c r="CE22" i="8" s="1"/>
  <c r="Q22" i="8"/>
  <c r="S22" i="8" s="1"/>
  <c r="CV14" i="8"/>
  <c r="M14" i="8"/>
  <c r="Q14" i="8"/>
  <c r="AC14" i="8" s="1"/>
  <c r="CV24" i="8"/>
  <c r="Q24" i="8"/>
  <c r="M24" i="8"/>
  <c r="CV49" i="8"/>
  <c r="M49" i="8"/>
  <c r="Q49" i="8"/>
  <c r="AV49" i="8" s="1"/>
  <c r="CV13" i="8"/>
  <c r="M13" i="8"/>
  <c r="Q13" i="8"/>
  <c r="AB13" i="8" s="1"/>
  <c r="CV8" i="8"/>
  <c r="Q8" i="8"/>
  <c r="M8" i="8"/>
  <c r="BX8" i="8" s="1"/>
  <c r="CE8" i="8" s="1"/>
  <c r="CV11" i="8"/>
  <c r="M11" i="8"/>
  <c r="Q11" i="8"/>
  <c r="AV11" i="8" s="1"/>
  <c r="CV28" i="8"/>
  <c r="Q28" i="8"/>
  <c r="X28" i="8" s="1"/>
  <c r="AA28" i="8" s="1"/>
  <c r="M28" i="8"/>
  <c r="BX28" i="8" s="1"/>
  <c r="CE28" i="8" s="1"/>
  <c r="CV39" i="8"/>
  <c r="Q39" i="8"/>
  <c r="AV39" i="8" s="1"/>
  <c r="M39" i="8"/>
  <c r="CV41" i="8"/>
  <c r="M41" i="8"/>
  <c r="Q41" i="8"/>
  <c r="AV41" i="8" s="1"/>
  <c r="CV48" i="8"/>
  <c r="Q48" i="8"/>
  <c r="S48" i="8" s="1"/>
  <c r="M48" i="8"/>
  <c r="CV50" i="8"/>
  <c r="M50" i="8"/>
  <c r="Q50" i="8"/>
  <c r="AV50" i="8" s="1"/>
  <c r="CV32" i="8"/>
  <c r="M32" i="8"/>
  <c r="Q32" i="8"/>
  <c r="AV32" i="8" s="1"/>
  <c r="CV43" i="8"/>
  <c r="M43" i="8"/>
  <c r="Q43" i="8"/>
  <c r="Y43" i="8" s="1"/>
  <c r="CV52" i="8"/>
  <c r="M52" i="8"/>
  <c r="Q52" i="8"/>
  <c r="CV45" i="8"/>
  <c r="M45" i="8"/>
  <c r="Q45" i="8"/>
  <c r="AV45" i="8" s="1"/>
  <c r="CV12" i="8"/>
  <c r="Q12" i="8"/>
  <c r="M12" i="8"/>
  <c r="CV19" i="8"/>
  <c r="M19" i="8"/>
  <c r="Q19" i="8"/>
  <c r="AB19" i="8" s="1"/>
  <c r="CV36" i="8"/>
  <c r="M36" i="8"/>
  <c r="Q36" i="8"/>
  <c r="CV35" i="8"/>
  <c r="M35" i="8"/>
  <c r="Q35" i="8"/>
  <c r="AB35" i="8" s="1"/>
  <c r="CV16" i="8"/>
  <c r="Q16" i="8"/>
  <c r="AC16" i="8" s="1"/>
  <c r="M16" i="8"/>
  <c r="CV5" i="8"/>
  <c r="M5" i="8"/>
  <c r="Q5" i="8"/>
  <c r="CV53" i="8"/>
  <c r="M53" i="8"/>
  <c r="Q53" i="8"/>
  <c r="S53" i="8" s="1"/>
  <c r="CV17" i="8"/>
  <c r="M17" i="8"/>
  <c r="Q17" i="8"/>
  <c r="AV17" i="8" s="1"/>
  <c r="CV54" i="8"/>
  <c r="M54" i="8"/>
  <c r="Q54" i="8"/>
  <c r="AV54" i="8" s="1"/>
  <c r="CV40" i="8"/>
  <c r="Q40" i="8"/>
  <c r="AV40" i="8" s="1"/>
  <c r="M40" i="8"/>
  <c r="CV10" i="8"/>
  <c r="M10" i="8"/>
  <c r="Q10" i="8"/>
  <c r="AV10" i="8" s="1"/>
  <c r="CV34" i="8"/>
  <c r="M34" i="8"/>
  <c r="Q34" i="8"/>
  <c r="CV44" i="8"/>
  <c r="M44" i="8"/>
  <c r="Q44" i="8"/>
  <c r="AV44" i="8" s="1"/>
  <c r="CV21" i="8"/>
  <c r="M21" i="8"/>
  <c r="Q21" i="8"/>
  <c r="CV30" i="8"/>
  <c r="M30" i="8"/>
  <c r="Q30" i="8"/>
  <c r="AV30" i="8" s="1"/>
  <c r="CV6" i="8"/>
  <c r="M6" i="8"/>
  <c r="Q6" i="8"/>
  <c r="CV4" i="8"/>
  <c r="Q4" i="8"/>
  <c r="X4" i="8" s="1"/>
  <c r="M4" i="8"/>
  <c r="CV47" i="8"/>
  <c r="M47" i="8"/>
  <c r="Q47" i="8"/>
  <c r="AV47" i="8" s="1"/>
  <c r="CV46" i="8"/>
  <c r="M46" i="8"/>
  <c r="Q46" i="8"/>
  <c r="AV46" i="8" s="1"/>
  <c r="CV51" i="8"/>
  <c r="M51" i="8"/>
  <c r="Q51" i="8"/>
  <c r="AV51" i="8" s="1"/>
  <c r="CV25" i="8"/>
  <c r="M25" i="8"/>
  <c r="Q25" i="8"/>
  <c r="S25" i="8" s="1"/>
  <c r="CV37" i="8"/>
  <c r="M37" i="8"/>
  <c r="Q37" i="8"/>
  <c r="S37" i="8" s="1"/>
  <c r="CV42" i="8"/>
  <c r="M42" i="8"/>
  <c r="Q42" i="8"/>
  <c r="AV42" i="8" s="1"/>
  <c r="CV23" i="8"/>
  <c r="M23" i="8"/>
  <c r="Q23" i="8"/>
  <c r="CV31" i="8"/>
  <c r="M31" i="8"/>
  <c r="BX31" i="8" s="1"/>
  <c r="CE31" i="8" s="1"/>
  <c r="Q31" i="8"/>
  <c r="AC31" i="8" s="1"/>
  <c r="CV27" i="8"/>
  <c r="M27" i="8"/>
  <c r="Q27" i="8"/>
  <c r="CV9" i="8"/>
  <c r="M9" i="8"/>
  <c r="Q9" i="8"/>
  <c r="CV26" i="8"/>
  <c r="M26" i="8"/>
  <c r="Q26" i="8"/>
  <c r="Y26" i="8" s="1"/>
  <c r="CV33" i="8"/>
  <c r="M33" i="8"/>
  <c r="Q33" i="8"/>
  <c r="CV15" i="8"/>
  <c r="M15" i="8"/>
  <c r="Q15" i="8"/>
  <c r="CV20" i="8"/>
  <c r="Q20" i="8"/>
  <c r="S20" i="8" s="1"/>
  <c r="M20" i="8"/>
  <c r="BX20" i="8" s="1"/>
  <c r="CE20" i="8" s="1"/>
  <c r="CV38" i="8"/>
  <c r="M38" i="8"/>
  <c r="Q38" i="8"/>
  <c r="CV29" i="8"/>
  <c r="M29" i="8"/>
  <c r="BX29" i="8" s="1"/>
  <c r="CE29" i="8" s="1"/>
  <c r="Q29" i="8"/>
  <c r="AB29" i="8" s="1"/>
  <c r="BX40" i="2"/>
  <c r="CE40" i="2" s="1"/>
  <c r="BX35" i="2"/>
  <c r="CE35" i="2" s="1"/>
  <c r="BX15" i="2"/>
  <c r="CE15" i="2" s="1"/>
  <c r="BX16" i="2"/>
  <c r="CE16" i="2" s="1"/>
  <c r="BX39" i="2"/>
  <c r="CE39" i="2" s="1"/>
  <c r="BX21" i="2"/>
  <c r="CE21" i="2" s="1"/>
  <c r="BX29" i="2"/>
  <c r="CE29" i="2" s="1"/>
  <c r="CV30" i="2"/>
  <c r="Q30" i="2"/>
  <c r="AV30" i="2" s="1"/>
  <c r="CV37" i="2"/>
  <c r="Q37" i="2"/>
  <c r="AV37" i="2" s="1"/>
  <c r="CV47" i="2"/>
  <c r="Q47" i="2"/>
  <c r="CV43" i="2"/>
  <c r="Q43" i="2"/>
  <c r="AC43" i="2" s="1"/>
  <c r="CV20" i="2"/>
  <c r="Q20" i="2"/>
  <c r="AC20" i="2" s="1"/>
  <c r="CV28" i="2"/>
  <c r="Q28" i="2"/>
  <c r="X28" i="2" s="1"/>
  <c r="CV17" i="2"/>
  <c r="Q17" i="2"/>
  <c r="X17" i="2" s="1"/>
  <c r="CV45" i="2"/>
  <c r="BX45" i="2"/>
  <c r="CE45" i="2" s="1"/>
  <c r="Q45" i="2"/>
  <c r="R45" i="2" s="1"/>
  <c r="CH45" i="2" s="1"/>
  <c r="CV39" i="2"/>
  <c r="Q39" i="2"/>
  <c r="AC39" i="2" s="1"/>
  <c r="CV33" i="2"/>
  <c r="Q33" i="2"/>
  <c r="AV33" i="2" s="1"/>
  <c r="CV10" i="2"/>
  <c r="Q10" i="2"/>
  <c r="CV18" i="2"/>
  <c r="Q18" i="2"/>
  <c r="AC18" i="2" s="1"/>
  <c r="CV49" i="2"/>
  <c r="Q49" i="2"/>
  <c r="BX49" i="2" s="1"/>
  <c r="CE49" i="2" s="1"/>
  <c r="CV35" i="2"/>
  <c r="Q35" i="2"/>
  <c r="AV35" i="2" s="1"/>
  <c r="CV9" i="2"/>
  <c r="Q9" i="2"/>
  <c r="AV9" i="2" s="1"/>
  <c r="CV48" i="2"/>
  <c r="Q48" i="2"/>
  <c r="AV48" i="2" s="1"/>
  <c r="CV21" i="2"/>
  <c r="Q21" i="2"/>
  <c r="R21" i="2" s="1"/>
  <c r="CH21" i="2" s="1"/>
  <c r="CV6" i="2"/>
  <c r="Q6" i="2"/>
  <c r="AV6" i="2" s="1"/>
  <c r="CV23" i="2"/>
  <c r="Q23" i="2"/>
  <c r="CV34" i="2"/>
  <c r="Q34" i="2"/>
  <c r="AV34" i="2" s="1"/>
  <c r="CV32" i="2"/>
  <c r="Q32" i="2"/>
  <c r="AB32" i="2" s="1"/>
  <c r="CV15" i="2"/>
  <c r="Q15" i="2"/>
  <c r="AV15" i="2" s="1"/>
  <c r="CV46" i="2"/>
  <c r="Q46" i="2"/>
  <c r="AV46" i="2" s="1"/>
  <c r="CV41" i="2"/>
  <c r="Q41" i="2"/>
  <c r="BX41" i="2" s="1"/>
  <c r="CE41" i="2" s="1"/>
  <c r="CV44" i="2"/>
  <c r="Q44" i="2"/>
  <c r="BX44" i="2" s="1"/>
  <c r="CE44" i="2" s="1"/>
  <c r="CV38" i="2"/>
  <c r="Q38" i="2"/>
  <c r="AV38" i="2" s="1"/>
  <c r="CV31" i="2"/>
  <c r="Q31" i="2"/>
  <c r="CV27" i="2"/>
  <c r="Q27" i="2"/>
  <c r="CV51" i="2"/>
  <c r="Q51" i="2"/>
  <c r="AB51" i="2" s="1"/>
  <c r="CV13" i="2"/>
  <c r="Q13" i="2"/>
  <c r="BX13" i="2" s="1"/>
  <c r="CE13" i="2" s="1"/>
  <c r="CV24" i="2"/>
  <c r="Q24" i="2"/>
  <c r="AV24" i="2" s="1"/>
  <c r="CV8" i="2"/>
  <c r="Q8" i="2"/>
  <c r="CV26" i="2"/>
  <c r="Q26" i="2"/>
  <c r="S26" i="2" s="1"/>
  <c r="CV52" i="2"/>
  <c r="Q52" i="2"/>
  <c r="BX52" i="2" s="1"/>
  <c r="CE52" i="2" s="1"/>
  <c r="CV29" i="2"/>
  <c r="Q29" i="2"/>
  <c r="R29" i="2" s="1"/>
  <c r="CH29" i="2" s="1"/>
  <c r="CV36" i="2"/>
  <c r="Q36" i="2"/>
  <c r="AV36" i="2" s="1"/>
  <c r="CV54" i="2"/>
  <c r="Q54" i="2"/>
  <c r="X54" i="2" s="1"/>
  <c r="CV53" i="2"/>
  <c r="Q53" i="2"/>
  <c r="AV53" i="2" s="1"/>
  <c r="CV12" i="2"/>
  <c r="Q12" i="2"/>
  <c r="AB12" i="2" s="1"/>
  <c r="CV5" i="2"/>
  <c r="BX5" i="2"/>
  <c r="CE5" i="2" s="1"/>
  <c r="Q5" i="2"/>
  <c r="R5" i="2" s="1"/>
  <c r="CH5" i="2" s="1"/>
  <c r="CV25" i="2"/>
  <c r="Q25" i="2"/>
  <c r="CV40" i="2"/>
  <c r="Q40" i="2"/>
  <c r="AV40" i="2" s="1"/>
  <c r="CV11" i="2"/>
  <c r="Q11" i="2"/>
  <c r="CV16" i="2"/>
  <c r="Q16" i="2"/>
  <c r="Y16" i="2" s="1"/>
  <c r="CV7" i="2"/>
  <c r="Q7" i="2"/>
  <c r="AV7" i="2" s="1"/>
  <c r="CV42" i="2"/>
  <c r="Q42" i="2"/>
  <c r="CV19" i="2"/>
  <c r="Q19" i="2"/>
  <c r="AV19" i="2" s="1"/>
  <c r="CV50" i="2"/>
  <c r="BX50" i="2"/>
  <c r="CE50" i="2" s="1"/>
  <c r="Q50" i="2"/>
  <c r="AV50" i="2" s="1"/>
  <c r="CV14" i="2"/>
  <c r="Q14" i="2"/>
  <c r="X14" i="2" s="1"/>
  <c r="CV22" i="2"/>
  <c r="Q22" i="2"/>
  <c r="AV22" i="2" s="1"/>
  <c r="O43" i="16"/>
  <c r="N15" i="16"/>
  <c r="AW15" i="16" s="1"/>
  <c r="BB15" i="16" s="1"/>
  <c r="BC15" i="16" s="1"/>
  <c r="N10" i="16"/>
  <c r="AW10" i="16" s="1"/>
  <c r="BB10" i="16" s="1"/>
  <c r="BC10" i="16" s="1"/>
  <c r="N16" i="16"/>
  <c r="Q16" i="16" s="1"/>
  <c r="O5" i="16"/>
  <c r="O49" i="16"/>
  <c r="CV4" i="2"/>
  <c r="B59" i="16"/>
  <c r="B131" i="26" s="1"/>
  <c r="B59" i="9"/>
  <c r="B129" i="23" s="1"/>
  <c r="N23" i="16"/>
  <c r="P23" i="16" s="1"/>
  <c r="M23" i="16" s="1"/>
  <c r="N47" i="16"/>
  <c r="P47" i="16" s="1"/>
  <c r="M47" i="16" s="1"/>
  <c r="N53" i="16"/>
  <c r="Q53" i="16" s="1"/>
  <c r="O48" i="16"/>
  <c r="B60" i="9"/>
  <c r="B130" i="23" s="1"/>
  <c r="B60" i="16"/>
  <c r="B132" i="26" s="1"/>
  <c r="O54" i="16"/>
  <c r="N21" i="16"/>
  <c r="P21" i="16" s="1"/>
  <c r="M21" i="16" s="1"/>
  <c r="N42" i="16"/>
  <c r="Q42" i="16" s="1"/>
  <c r="N38" i="16"/>
  <c r="Q38" i="16" s="1"/>
  <c r="S38" i="16" s="1"/>
  <c r="B57" i="9"/>
  <c r="B127" i="23" s="1"/>
  <c r="B57" i="16"/>
  <c r="B129" i="26" s="1"/>
  <c r="N11" i="16"/>
  <c r="AW11" i="16" s="1"/>
  <c r="BB11" i="16" s="1"/>
  <c r="BC11" i="16" s="1"/>
  <c r="N9" i="16"/>
  <c r="AW9" i="16" s="1"/>
  <c r="AZ9" i="16" s="1"/>
  <c r="N34" i="16"/>
  <c r="AW34" i="16" s="1"/>
  <c r="BD34" i="16" s="1"/>
  <c r="BE34" i="16" s="1"/>
  <c r="O46" i="16"/>
  <c r="N35" i="16"/>
  <c r="P35" i="16" s="1"/>
  <c r="M35" i="16" s="1"/>
  <c r="O51" i="16"/>
  <c r="N4" i="16"/>
  <c r="Q4" i="16" s="1"/>
  <c r="N50" i="16"/>
  <c r="Q50" i="16" s="1"/>
  <c r="S50" i="16" s="1"/>
  <c r="N37" i="16"/>
  <c r="Q37" i="16" s="1"/>
  <c r="S37" i="16" s="1"/>
  <c r="B58" i="16"/>
  <c r="B130" i="26" s="1"/>
  <c r="B58" i="9"/>
  <c r="B128" i="23" s="1"/>
  <c r="N18" i="16"/>
  <c r="AW18" i="16" s="1"/>
  <c r="BA18" i="16" s="1"/>
  <c r="N12" i="16"/>
  <c r="AW12" i="16" s="1"/>
  <c r="AX12" i="16" s="1"/>
  <c r="AY12" i="16" s="1"/>
  <c r="N19" i="16"/>
  <c r="AW19" i="16" s="1"/>
  <c r="AZ19" i="16" s="1"/>
  <c r="B8" i="16"/>
  <c r="B41" i="16"/>
  <c r="B137" i="26" s="1"/>
  <c r="B43" i="16"/>
  <c r="B140" i="26" s="1"/>
  <c r="N39" i="16"/>
  <c r="P39" i="16" s="1"/>
  <c r="M39" i="16" s="1"/>
  <c r="N40" i="16"/>
  <c r="AW40" i="16" s="1"/>
  <c r="N17" i="16"/>
  <c r="AW17" i="16" s="1"/>
  <c r="BA17" i="16" s="1"/>
  <c r="N36" i="16"/>
  <c r="P36" i="16" s="1"/>
  <c r="M36" i="16" s="1"/>
  <c r="N51" i="16"/>
  <c r="Q51" i="16" s="1"/>
  <c r="S51" i="16" s="1"/>
  <c r="N32" i="16"/>
  <c r="AW32" i="16" s="1"/>
  <c r="BB32" i="16" s="1"/>
  <c r="BC32" i="16" s="1"/>
  <c r="N46" i="16"/>
  <c r="Q46" i="16" s="1"/>
  <c r="S46" i="16" s="1"/>
  <c r="O29" i="16"/>
  <c r="O31" i="16"/>
  <c r="O26" i="16"/>
  <c r="O28" i="16"/>
  <c r="B138" i="3"/>
  <c r="Z13" i="16"/>
  <c r="Z14" i="16"/>
  <c r="Y14" i="16" s="1"/>
  <c r="AA14" i="16" s="1"/>
  <c r="AB14" i="16" s="1"/>
  <c r="Z15" i="16"/>
  <c r="Y15" i="16" s="1"/>
  <c r="Z24" i="16"/>
  <c r="Y24" i="16" s="1"/>
  <c r="Z26" i="16"/>
  <c r="Z38" i="16"/>
  <c r="Y38" i="16" s="1"/>
  <c r="Z48" i="16"/>
  <c r="Y48" i="16" s="1"/>
  <c r="AA48" i="16" s="1"/>
  <c r="AB48" i="16" s="1"/>
  <c r="Z8" i="16"/>
  <c r="Z19" i="16"/>
  <c r="Z22" i="16"/>
  <c r="Z29" i="16"/>
  <c r="Z54" i="16"/>
  <c r="Y54" i="16" s="1"/>
  <c r="AA54" i="16" s="1"/>
  <c r="AB54" i="16" s="1"/>
  <c r="Z25" i="16"/>
  <c r="Y25" i="16" s="1"/>
  <c r="AA25" i="16" s="1"/>
  <c r="AB25" i="16" s="1"/>
  <c r="Z34" i="16"/>
  <c r="Y34" i="16" s="1"/>
  <c r="AA34" i="16" s="1"/>
  <c r="AB34" i="16" s="1"/>
  <c r="Z37" i="16"/>
  <c r="Y37" i="16" s="1"/>
  <c r="AA37" i="16" s="1"/>
  <c r="AB37" i="16" s="1"/>
  <c r="Z53" i="16"/>
  <c r="Y53" i="16" s="1"/>
  <c r="Z42" i="16"/>
  <c r="Y42" i="16" s="1"/>
  <c r="Z44" i="16"/>
  <c r="Y44" i="16" s="1"/>
  <c r="AA44" i="16" s="1"/>
  <c r="AB44" i="16" s="1"/>
  <c r="Z47" i="16"/>
  <c r="Z51" i="16"/>
  <c r="Z4" i="16"/>
  <c r="Y4" i="16" s="1"/>
  <c r="Z32" i="16"/>
  <c r="Y32" i="16" s="1"/>
  <c r="AA32" i="16" s="1"/>
  <c r="Z35" i="16"/>
  <c r="Y35" i="16" s="1"/>
  <c r="AA35" i="16" s="1"/>
  <c r="AB35" i="16" s="1"/>
  <c r="Z41" i="16"/>
  <c r="Y41" i="16" s="1"/>
  <c r="Z45" i="16"/>
  <c r="Y45" i="16" s="1"/>
  <c r="AA45" i="16" s="1"/>
  <c r="AB45" i="16" s="1"/>
  <c r="Z50" i="16"/>
  <c r="Y50" i="16" s="1"/>
  <c r="Z36" i="16"/>
  <c r="Y36" i="16" s="1"/>
  <c r="AA36" i="16" s="1"/>
  <c r="Z43" i="16"/>
  <c r="Y43" i="16" s="1"/>
  <c r="AA43" i="16" s="1"/>
  <c r="AB43" i="16" s="1"/>
  <c r="Z5" i="16"/>
  <c r="Z17" i="16"/>
  <c r="Z21" i="16"/>
  <c r="Z23" i="16"/>
  <c r="Z10" i="16"/>
  <c r="Y10" i="16" s="1"/>
  <c r="AA10" i="16" s="1"/>
  <c r="AB10" i="16" s="1"/>
  <c r="Z39" i="16"/>
  <c r="Z7" i="16"/>
  <c r="Y7" i="16" s="1"/>
  <c r="AA7" i="16" s="1"/>
  <c r="AB7" i="16" s="1"/>
  <c r="Z31" i="16"/>
  <c r="Z12" i="16"/>
  <c r="Z28" i="16"/>
  <c r="Y28" i="16" s="1"/>
  <c r="AA28" i="16" s="1"/>
  <c r="Z52" i="16"/>
  <c r="Z40" i="16"/>
  <c r="Z46" i="16"/>
  <c r="Z6" i="16"/>
  <c r="Z16" i="16"/>
  <c r="Z18" i="16"/>
  <c r="Z20" i="16"/>
  <c r="Y20" i="16" s="1"/>
  <c r="Z27" i="16"/>
  <c r="Y27" i="16" s="1"/>
  <c r="Z30" i="16"/>
  <c r="Y30" i="16" s="1"/>
  <c r="Z9" i="16"/>
  <c r="Y9" i="16" s="1"/>
  <c r="Z33" i="16"/>
  <c r="Z49" i="16"/>
  <c r="Y49" i="16" s="1"/>
  <c r="AA49" i="16" s="1"/>
  <c r="AB49" i="16" s="1"/>
  <c r="Z11" i="16"/>
  <c r="O13" i="16"/>
  <c r="O18" i="16"/>
  <c r="O12" i="16"/>
  <c r="O19" i="16"/>
  <c r="O24" i="16"/>
  <c r="N28" i="16"/>
  <c r="AW28" i="16" s="1"/>
  <c r="O40" i="16"/>
  <c r="O7" i="16"/>
  <c r="O17" i="16"/>
  <c r="O8" i="16"/>
  <c r="O15" i="16"/>
  <c r="O53" i="16"/>
  <c r="N31" i="16"/>
  <c r="O22" i="16"/>
  <c r="O33" i="16"/>
  <c r="B151" i="3"/>
  <c r="J151" i="3" s="1"/>
  <c r="AI13" i="9"/>
  <c r="AI18" i="9"/>
  <c r="AI23" i="9"/>
  <c r="AI5" i="9"/>
  <c r="AI8" i="9"/>
  <c r="AI11" i="9"/>
  <c r="AI16" i="9"/>
  <c r="AI26" i="9"/>
  <c r="AI46" i="9"/>
  <c r="AI51" i="9"/>
  <c r="AI53" i="9"/>
  <c r="AI6" i="9"/>
  <c r="AI9" i="9"/>
  <c r="AI12" i="9"/>
  <c r="AI24" i="9"/>
  <c r="AI27" i="9"/>
  <c r="AI30" i="9"/>
  <c r="AI33" i="9"/>
  <c r="AI36" i="9"/>
  <c r="AI39" i="9"/>
  <c r="AI15" i="9"/>
  <c r="AI17" i="9"/>
  <c r="AI22" i="9"/>
  <c r="AI42" i="9"/>
  <c r="AI52" i="9"/>
  <c r="AI14" i="9"/>
  <c r="AI31" i="9"/>
  <c r="AI32" i="9"/>
  <c r="AI7" i="9"/>
  <c r="AI25" i="9"/>
  <c r="AI37" i="9"/>
  <c r="AI38" i="9"/>
  <c r="AI10" i="9"/>
  <c r="AI40" i="9"/>
  <c r="AI28" i="9"/>
  <c r="AI35" i="9"/>
  <c r="AI43" i="9"/>
  <c r="AI44" i="9"/>
  <c r="AI45" i="9"/>
  <c r="AI20" i="9"/>
  <c r="AI41" i="9"/>
  <c r="AI48" i="9"/>
  <c r="AI47" i="9"/>
  <c r="AI50" i="9"/>
  <c r="AI19" i="9"/>
  <c r="AI54" i="9"/>
  <c r="AI21" i="9"/>
  <c r="AI49" i="9"/>
  <c r="AI34" i="9"/>
  <c r="AI29" i="9"/>
  <c r="B139" i="3"/>
  <c r="B148" i="3" s="1"/>
  <c r="AC7" i="9"/>
  <c r="AC45" i="9"/>
  <c r="AC50" i="9"/>
  <c r="AC10" i="9"/>
  <c r="AC20" i="9"/>
  <c r="AC25" i="9"/>
  <c r="AC28" i="9"/>
  <c r="AC31" i="9"/>
  <c r="AC34" i="9"/>
  <c r="AC37" i="9"/>
  <c r="AC40" i="9"/>
  <c r="AC43" i="9"/>
  <c r="AC48" i="9"/>
  <c r="AC29" i="9"/>
  <c r="AC32" i="9"/>
  <c r="AC35" i="9"/>
  <c r="AC38" i="9"/>
  <c r="AC41" i="9"/>
  <c r="AC44" i="9"/>
  <c r="AC14" i="9"/>
  <c r="AC19" i="9"/>
  <c r="AC21" i="9"/>
  <c r="AC47" i="9"/>
  <c r="AC49" i="9"/>
  <c r="AC54" i="9"/>
  <c r="AC6" i="9"/>
  <c r="AC23" i="9"/>
  <c r="AC24" i="9"/>
  <c r="AC5" i="9"/>
  <c r="AC22" i="9"/>
  <c r="AC12" i="9"/>
  <c r="AC13" i="9"/>
  <c r="AC30" i="9"/>
  <c r="AC11" i="9"/>
  <c r="AC17" i="9"/>
  <c r="AC39" i="9"/>
  <c r="AC8" i="9"/>
  <c r="AC16" i="9"/>
  <c r="AC42" i="9"/>
  <c r="AC52" i="9"/>
  <c r="AC53" i="9"/>
  <c r="AC26" i="9"/>
  <c r="AC33" i="9"/>
  <c r="AC51" i="9"/>
  <c r="AC46" i="9"/>
  <c r="AC27" i="9"/>
  <c r="AC18" i="9"/>
  <c r="AC36" i="9"/>
  <c r="AC9" i="9"/>
  <c r="AC15" i="9"/>
  <c r="AC4" i="9"/>
  <c r="O10" i="16"/>
  <c r="O30" i="16"/>
  <c r="O16" i="16"/>
  <c r="N43" i="16"/>
  <c r="P43" i="16" s="1"/>
  <c r="M43" i="16" s="1"/>
  <c r="O45" i="16"/>
  <c r="N29" i="16"/>
  <c r="P29" i="16" s="1"/>
  <c r="M29" i="16" s="1"/>
  <c r="N49" i="16"/>
  <c r="Q49" i="16" s="1"/>
  <c r="S49" i="16" s="1"/>
  <c r="N30" i="16"/>
  <c r="AW30" i="16" s="1"/>
  <c r="N8" i="16"/>
  <c r="Q8" i="16" s="1"/>
  <c r="S8" i="16" s="1"/>
  <c r="O27" i="16"/>
  <c r="O6" i="16"/>
  <c r="O41" i="16"/>
  <c r="N6" i="16"/>
  <c r="AW6" i="16" s="1"/>
  <c r="O44" i="16"/>
  <c r="O36" i="16"/>
  <c r="O25" i="16"/>
  <c r="N41" i="16"/>
  <c r="Q41" i="16" s="1"/>
  <c r="S41" i="16" s="1"/>
  <c r="O21" i="16"/>
  <c r="O37" i="16"/>
  <c r="O20" i="16"/>
  <c r="O42" i="16"/>
  <c r="O38" i="16"/>
  <c r="O32" i="16"/>
  <c r="N54" i="16"/>
  <c r="AW54" i="16" s="1"/>
  <c r="N22" i="16"/>
  <c r="N27" i="16"/>
  <c r="P27" i="16" s="1"/>
  <c r="M27" i="16" s="1"/>
  <c r="O47" i="16"/>
  <c r="N33" i="16"/>
  <c r="N44" i="16"/>
  <c r="P44" i="16" s="1"/>
  <c r="M44" i="16" s="1"/>
  <c r="N5" i="16"/>
  <c r="AW5" i="16" s="1"/>
  <c r="B141" i="3"/>
  <c r="B150" i="3" s="1"/>
  <c r="J150" i="3" s="1"/>
  <c r="AG29" i="9"/>
  <c r="AG32" i="9"/>
  <c r="AG35" i="9"/>
  <c r="AG38" i="9"/>
  <c r="AG41" i="9"/>
  <c r="AG44" i="9"/>
  <c r="AG14" i="9"/>
  <c r="AG19" i="9"/>
  <c r="AG21" i="9"/>
  <c r="AG47" i="9"/>
  <c r="AG49" i="9"/>
  <c r="AG54" i="9"/>
  <c r="AG7" i="9"/>
  <c r="AG45" i="9"/>
  <c r="AG50" i="9"/>
  <c r="AG10" i="9"/>
  <c r="AG20" i="9"/>
  <c r="AG25" i="9"/>
  <c r="AG28" i="9"/>
  <c r="AG31" i="9"/>
  <c r="AG34" i="9"/>
  <c r="AG37" i="9"/>
  <c r="AG40" i="9"/>
  <c r="AG43" i="9"/>
  <c r="AG48" i="9"/>
  <c r="AG11" i="9"/>
  <c r="AG9" i="9"/>
  <c r="AG27" i="9"/>
  <c r="AG39" i="9"/>
  <c r="AG5" i="9"/>
  <c r="AG22" i="9"/>
  <c r="AG51" i="9"/>
  <c r="AG52" i="9"/>
  <c r="AG18" i="9"/>
  <c r="AG33" i="9"/>
  <c r="AG13" i="9"/>
  <c r="AG26" i="9"/>
  <c r="AG12" i="9"/>
  <c r="AG36" i="9"/>
  <c r="AG4" i="9"/>
  <c r="AG8" i="9"/>
  <c r="AG16" i="9"/>
  <c r="AG23" i="9"/>
  <c r="AG42" i="9"/>
  <c r="AG15" i="9"/>
  <c r="AG17" i="9"/>
  <c r="AG30" i="9"/>
  <c r="AG24" i="9"/>
  <c r="AG53" i="9"/>
  <c r="AG46" i="9"/>
  <c r="AG6" i="9"/>
  <c r="O23" i="16"/>
  <c r="O14" i="16"/>
  <c r="N48" i="16"/>
  <c r="Q48" i="16" s="1"/>
  <c r="S48" i="16" s="1"/>
  <c r="O52" i="16"/>
  <c r="N14" i="16"/>
  <c r="B140" i="3"/>
  <c r="B149" i="3" s="1"/>
  <c r="D149" i="3" s="1"/>
  <c r="AE6" i="9"/>
  <c r="AE9" i="9"/>
  <c r="AE12" i="9"/>
  <c r="AE24" i="9"/>
  <c r="AE27" i="9"/>
  <c r="AE30" i="9"/>
  <c r="AE33" i="9"/>
  <c r="AE36" i="9"/>
  <c r="AE39" i="9"/>
  <c r="AE15" i="9"/>
  <c r="AE17" i="9"/>
  <c r="AE22" i="9"/>
  <c r="AE42" i="9"/>
  <c r="AE52" i="9"/>
  <c r="AE13" i="9"/>
  <c r="AE18" i="9"/>
  <c r="AE23" i="9"/>
  <c r="AE5" i="9"/>
  <c r="AE8" i="9"/>
  <c r="AE11" i="9"/>
  <c r="AE16" i="9"/>
  <c r="AE26" i="9"/>
  <c r="AE46" i="9"/>
  <c r="AE51" i="9"/>
  <c r="AE53" i="9"/>
  <c r="AE7" i="9"/>
  <c r="AE25" i="9"/>
  <c r="AE37" i="9"/>
  <c r="AE38" i="9"/>
  <c r="AE14" i="9"/>
  <c r="AE31" i="9"/>
  <c r="AE32" i="9"/>
  <c r="AE21" i="9"/>
  <c r="AE28" i="9"/>
  <c r="AE35" i="9"/>
  <c r="AE43" i="9"/>
  <c r="AE44" i="9"/>
  <c r="AE45" i="9"/>
  <c r="AE19" i="9"/>
  <c r="AE41" i="9"/>
  <c r="AE54" i="9"/>
  <c r="AE10" i="9"/>
  <c r="AE20" i="9"/>
  <c r="AE40" i="9"/>
  <c r="AE50" i="9"/>
  <c r="AE34" i="9"/>
  <c r="AE29" i="9"/>
  <c r="AE48" i="9"/>
  <c r="AE4" i="9"/>
  <c r="AE47" i="9"/>
  <c r="AE49" i="9"/>
  <c r="O39" i="16"/>
  <c r="O11" i="16"/>
  <c r="O9" i="16"/>
  <c r="O34" i="16"/>
  <c r="O35" i="16"/>
  <c r="N26" i="16"/>
  <c r="P26" i="16" s="1"/>
  <c r="M26" i="16" s="1"/>
  <c r="N45" i="16"/>
  <c r="O50" i="16"/>
  <c r="N25" i="16"/>
  <c r="AW25" i="16" s="1"/>
  <c r="N13" i="16"/>
  <c r="Q13" i="16" s="1"/>
  <c r="S13" i="16" s="1"/>
  <c r="N20" i="16"/>
  <c r="AW20" i="16" s="1"/>
  <c r="N52" i="16"/>
  <c r="P52" i="16" s="1"/>
  <c r="M52" i="16" s="1"/>
  <c r="N24" i="16"/>
  <c r="P24" i="16" s="1"/>
  <c r="M24" i="16" s="1"/>
  <c r="N7" i="16"/>
  <c r="P7" i="16" s="1"/>
  <c r="M7" i="16" s="1"/>
  <c r="B105" i="3"/>
  <c r="B101" i="3"/>
  <c r="B103" i="3"/>
  <c r="B112" i="3" s="1"/>
  <c r="D112" i="3" s="1"/>
  <c r="B104" i="3"/>
  <c r="B113" i="3" s="1"/>
  <c r="B102" i="3"/>
  <c r="B111" i="3" s="1"/>
  <c r="R54" i="9"/>
  <c r="O4" i="16"/>
  <c r="R30" i="9"/>
  <c r="R48" i="9"/>
  <c r="R38" i="9"/>
  <c r="R25" i="9"/>
  <c r="R49" i="9"/>
  <c r="R33" i="9"/>
  <c r="R21" i="9"/>
  <c r="R17" i="9"/>
  <c r="R6" i="9"/>
  <c r="R46" i="9"/>
  <c r="R31" i="9"/>
  <c r="R28" i="9"/>
  <c r="R47" i="9"/>
  <c r="R26" i="9"/>
  <c r="R13" i="9"/>
  <c r="R22" i="9"/>
  <c r="R9" i="9"/>
  <c r="R18" i="9"/>
  <c r="R37" i="9"/>
  <c r="R15" i="9"/>
  <c r="R4" i="9"/>
  <c r="R20" i="9"/>
  <c r="R12" i="9"/>
  <c r="R53" i="9"/>
  <c r="R7" i="9"/>
  <c r="R16" i="9"/>
  <c r="R32" i="9"/>
  <c r="R44" i="9"/>
  <c r="R39" i="9"/>
  <c r="R52" i="9"/>
  <c r="R14" i="9"/>
  <c r="R29" i="9"/>
  <c r="R42" i="9"/>
  <c r="R36" i="9"/>
  <c r="R40" i="9"/>
  <c r="R5" i="9"/>
  <c r="R27" i="9"/>
  <c r="R51" i="9"/>
  <c r="R43" i="9"/>
  <c r="R41" i="9"/>
  <c r="R34" i="9"/>
  <c r="R11" i="9"/>
  <c r="R24" i="9"/>
  <c r="R23" i="9"/>
  <c r="R8" i="9"/>
  <c r="R50" i="9"/>
  <c r="R19" i="9"/>
  <c r="R45" i="9"/>
  <c r="R10" i="9"/>
  <c r="R35" i="9"/>
  <c r="CZ5" i="16" l="1"/>
  <c r="CZ48" i="16"/>
  <c r="V16" i="16"/>
  <c r="U16" i="16" s="1"/>
  <c r="W16" i="16" s="1"/>
  <c r="X16" i="16" s="1"/>
  <c r="CZ31" i="16"/>
  <c r="CZ46" i="16"/>
  <c r="V14" i="16"/>
  <c r="U14" i="16" s="1"/>
  <c r="W14" i="16" s="1"/>
  <c r="X14" i="16" s="1"/>
  <c r="CW48" i="9"/>
  <c r="Q33" i="9"/>
  <c r="AK33" i="9" s="1"/>
  <c r="AL33" i="9" s="1"/>
  <c r="V21" i="16"/>
  <c r="U21" i="16" s="1"/>
  <c r="W21" i="16" s="1"/>
  <c r="X21" i="16" s="1"/>
  <c r="CW10" i="9"/>
  <c r="Q11" i="9"/>
  <c r="CW16" i="9"/>
  <c r="V12" i="16"/>
  <c r="U12" i="16" s="1"/>
  <c r="W12" i="16" s="1"/>
  <c r="X12" i="16" s="1"/>
  <c r="CZ4" i="16"/>
  <c r="CZ53" i="16"/>
  <c r="Q10" i="9"/>
  <c r="AK10" i="9" s="1"/>
  <c r="AL10" i="9" s="1"/>
  <c r="V11" i="16"/>
  <c r="U11" i="16" s="1"/>
  <c r="W11" i="16" s="1"/>
  <c r="X11" i="16" s="1"/>
  <c r="CW53" i="9"/>
  <c r="V5" i="16"/>
  <c r="U5" i="16" s="1"/>
  <c r="W5" i="16" s="1"/>
  <c r="CZ49" i="16"/>
  <c r="CZ40" i="16"/>
  <c r="CW35" i="9"/>
  <c r="Q30" i="9"/>
  <c r="Q22" i="9"/>
  <c r="AK22" i="9" s="1"/>
  <c r="AL22" i="9" s="1"/>
  <c r="Q5" i="9"/>
  <c r="AA5" i="9" s="1"/>
  <c r="AB5" i="9" s="1"/>
  <c r="Q40" i="9"/>
  <c r="AK40" i="9" s="1"/>
  <c r="AL40" i="9" s="1"/>
  <c r="V35" i="16"/>
  <c r="U35" i="16" s="1"/>
  <c r="W35" i="16" s="1"/>
  <c r="X35" i="16" s="1"/>
  <c r="V20" i="16"/>
  <c r="U20" i="16" s="1"/>
  <c r="W20" i="16" s="1"/>
  <c r="X20" i="16" s="1"/>
  <c r="CZ54" i="16"/>
  <c r="CW44" i="9"/>
  <c r="CZ23" i="16"/>
  <c r="CW31" i="9"/>
  <c r="CW33" i="9"/>
  <c r="B5" i="9"/>
  <c r="B6" i="9" s="1"/>
  <c r="Q14" i="9"/>
  <c r="AM14" i="9" s="1"/>
  <c r="AN14" i="9" s="1"/>
  <c r="AO14" i="9" s="1"/>
  <c r="Q32" i="9"/>
  <c r="AK32" i="9" s="1"/>
  <c r="AL32" i="9" s="1"/>
  <c r="V53" i="16"/>
  <c r="U53" i="16" s="1"/>
  <c r="W53" i="16" s="1"/>
  <c r="X53" i="16" s="1"/>
  <c r="V54" i="16"/>
  <c r="U54" i="16" s="1"/>
  <c r="W54" i="16" s="1"/>
  <c r="X54" i="16" s="1"/>
  <c r="CV4" i="16"/>
  <c r="CW37" i="9"/>
  <c r="CW8" i="9"/>
  <c r="CZ27" i="16"/>
  <c r="CW21" i="9"/>
  <c r="B7" i="9"/>
  <c r="B53" i="9" s="1"/>
  <c r="B154" i="23" s="1"/>
  <c r="Q44" i="9"/>
  <c r="AM44" i="9" s="1"/>
  <c r="AN44" i="9" s="1"/>
  <c r="AO44" i="9" s="1"/>
  <c r="Q23" i="9"/>
  <c r="AK23" i="9" s="1"/>
  <c r="AL23" i="9" s="1"/>
  <c r="V48" i="16"/>
  <c r="U48" i="16" s="1"/>
  <c r="W48" i="16" s="1"/>
  <c r="X48" i="16" s="1"/>
  <c r="V34" i="16"/>
  <c r="U34" i="16" s="1"/>
  <c r="W34" i="16" s="1"/>
  <c r="X34" i="16" s="1"/>
  <c r="V50" i="16"/>
  <c r="U50" i="16" s="1"/>
  <c r="W50" i="16" s="1"/>
  <c r="X50" i="16" s="1"/>
  <c r="CW25" i="9"/>
  <c r="CW36" i="9"/>
  <c r="CW29" i="9"/>
  <c r="CZ28" i="16"/>
  <c r="CW9" i="9"/>
  <c r="B109" i="9"/>
  <c r="B112" i="9" s="1"/>
  <c r="B118" i="9" s="1"/>
  <c r="D118" i="9" s="1"/>
  <c r="Q45" i="9"/>
  <c r="AK45" i="9" s="1"/>
  <c r="AL45" i="9" s="1"/>
  <c r="Q16" i="9"/>
  <c r="AK16" i="9" s="1"/>
  <c r="AL16" i="9" s="1"/>
  <c r="V26" i="16"/>
  <c r="U26" i="16" s="1"/>
  <c r="W26" i="16" s="1"/>
  <c r="X26" i="16" s="1"/>
  <c r="V44" i="16"/>
  <c r="U44" i="16" s="1"/>
  <c r="W44" i="16" s="1"/>
  <c r="X44" i="16" s="1"/>
  <c r="V9" i="16"/>
  <c r="U9" i="16" s="1"/>
  <c r="W9" i="16" s="1"/>
  <c r="X9" i="16" s="1"/>
  <c r="CV53" i="16"/>
  <c r="CW5" i="9"/>
  <c r="CW50" i="9"/>
  <c r="CZ32" i="16"/>
  <c r="CW19" i="9"/>
  <c r="CZ45" i="16"/>
  <c r="Q37" i="9"/>
  <c r="AM37" i="9" s="1"/>
  <c r="AT37" i="9" s="1"/>
  <c r="AU37" i="9" s="1"/>
  <c r="Q8" i="9"/>
  <c r="AK8" i="9" s="1"/>
  <c r="AL8" i="9" s="1"/>
  <c r="V42" i="16"/>
  <c r="U42" i="16" s="1"/>
  <c r="W42" i="16" s="1"/>
  <c r="X42" i="16" s="1"/>
  <c r="V27" i="16"/>
  <c r="U27" i="16" s="1"/>
  <c r="W27" i="16" s="1"/>
  <c r="X27" i="16" s="1"/>
  <c r="V38" i="16"/>
  <c r="U38" i="16" s="1"/>
  <c r="W38" i="16" s="1"/>
  <c r="X38" i="16" s="1"/>
  <c r="V43" i="16"/>
  <c r="U43" i="16" s="1"/>
  <c r="W43" i="16" s="1"/>
  <c r="X43" i="16" s="1"/>
  <c r="V39" i="16"/>
  <c r="U39" i="16" s="1"/>
  <c r="W39" i="16" s="1"/>
  <c r="X39" i="16" s="1"/>
  <c r="V30" i="16"/>
  <c r="U30" i="16" s="1"/>
  <c r="W30" i="16" s="1"/>
  <c r="X30" i="16" s="1"/>
  <c r="V8" i="16"/>
  <c r="U8" i="16" s="1"/>
  <c r="W8" i="16" s="1"/>
  <c r="X8" i="16" s="1"/>
  <c r="B56" i="9"/>
  <c r="B126" i="23" s="1"/>
  <c r="CW30" i="9"/>
  <c r="CZ29" i="16"/>
  <c r="CZ18" i="16"/>
  <c r="CW28" i="9"/>
  <c r="CW34" i="9"/>
  <c r="CZ37" i="16"/>
  <c r="CZ38" i="16"/>
  <c r="CZ8" i="16"/>
  <c r="CW51" i="9"/>
  <c r="CW15" i="9"/>
  <c r="CW6" i="9"/>
  <c r="CZ44" i="16"/>
  <c r="CZ9" i="16"/>
  <c r="Q27" i="9"/>
  <c r="Y27" i="9" s="1"/>
  <c r="Q15" i="9"/>
  <c r="AA15" i="9" s="1"/>
  <c r="AB15" i="9" s="1"/>
  <c r="Q29" i="9"/>
  <c r="AK29" i="9" s="1"/>
  <c r="AL29" i="9" s="1"/>
  <c r="Q20" i="9"/>
  <c r="AK20" i="9" s="1"/>
  <c r="AL20" i="9" s="1"/>
  <c r="Q9" i="9"/>
  <c r="AK9" i="9" s="1"/>
  <c r="AL9" i="9" s="1"/>
  <c r="Q51" i="9"/>
  <c r="T51" i="9" s="1"/>
  <c r="Q25" i="9"/>
  <c r="Y25" i="9" s="1"/>
  <c r="V52" i="16"/>
  <c r="U52" i="16" s="1"/>
  <c r="W52" i="16" s="1"/>
  <c r="X52" i="16" s="1"/>
  <c r="V7" i="16"/>
  <c r="U7" i="16" s="1"/>
  <c r="W7" i="16" s="1"/>
  <c r="X7" i="16" s="1"/>
  <c r="CZ50" i="16"/>
  <c r="CZ16" i="16"/>
  <c r="CZ52" i="16"/>
  <c r="CZ41" i="16"/>
  <c r="Q52" i="9"/>
  <c r="AK52" i="9" s="1"/>
  <c r="AL52" i="9" s="1"/>
  <c r="Q6" i="9"/>
  <c r="AK6" i="9" s="1"/>
  <c r="AL6" i="9" s="1"/>
  <c r="V32" i="16"/>
  <c r="U32" i="16" s="1"/>
  <c r="W32" i="16" s="1"/>
  <c r="X32" i="16" s="1"/>
  <c r="V19" i="16"/>
  <c r="U19" i="16" s="1"/>
  <c r="W19" i="16" s="1"/>
  <c r="X19" i="16" s="1"/>
  <c r="CZ14" i="16"/>
  <c r="CW40" i="9"/>
  <c r="CZ15" i="16"/>
  <c r="CW27" i="9"/>
  <c r="CZ33" i="16"/>
  <c r="Q53" i="9"/>
  <c r="AM53" i="9" s="1"/>
  <c r="AN53" i="9" s="1"/>
  <c r="AO53" i="9" s="1"/>
  <c r="Q24" i="9"/>
  <c r="AK24" i="9" s="1"/>
  <c r="AL24" i="9" s="1"/>
  <c r="V28" i="16"/>
  <c r="U28" i="16" s="1"/>
  <c r="W28" i="16" s="1"/>
  <c r="X28" i="16" s="1"/>
  <c r="V17" i="16"/>
  <c r="U17" i="16" s="1"/>
  <c r="W17" i="16" s="1"/>
  <c r="X17" i="16" s="1"/>
  <c r="CW54" i="9"/>
  <c r="CZ30" i="16"/>
  <c r="CZ11" i="16"/>
  <c r="CW38" i="9"/>
  <c r="Q36" i="9"/>
  <c r="T36" i="9" s="1"/>
  <c r="Q7" i="9"/>
  <c r="AK7" i="9" s="1"/>
  <c r="AL7" i="9" s="1"/>
  <c r="V40" i="16"/>
  <c r="U40" i="16" s="1"/>
  <c r="W40" i="16" s="1"/>
  <c r="X40" i="16" s="1"/>
  <c r="V41" i="16"/>
  <c r="U41" i="16" s="1"/>
  <c r="W41" i="16" s="1"/>
  <c r="X41" i="16" s="1"/>
  <c r="B56" i="16"/>
  <c r="B128" i="26" s="1"/>
  <c r="DA16" i="16"/>
  <c r="CZ26" i="16"/>
  <c r="CW13" i="9"/>
  <c r="CZ20" i="16"/>
  <c r="CZ17" i="16"/>
  <c r="Q31" i="9"/>
  <c r="Y31" i="9" s="1"/>
  <c r="Q41" i="9"/>
  <c r="AK41" i="9" s="1"/>
  <c r="AL41" i="9" s="1"/>
  <c r="B137" i="3"/>
  <c r="V37" i="16"/>
  <c r="U37" i="16" s="1"/>
  <c r="W37" i="16" s="1"/>
  <c r="R37" i="16" s="1"/>
  <c r="U4" i="16"/>
  <c r="V29" i="16"/>
  <c r="U29" i="16" s="1"/>
  <c r="W29" i="16" s="1"/>
  <c r="X29" i="16" s="1"/>
  <c r="V36" i="16"/>
  <c r="U36" i="16" s="1"/>
  <c r="W36" i="16" s="1"/>
  <c r="X36" i="16" s="1"/>
  <c r="V33" i="16"/>
  <c r="U33" i="16" s="1"/>
  <c r="W33" i="16" s="1"/>
  <c r="X33" i="16" s="1"/>
  <c r="V23" i="16"/>
  <c r="U23" i="16" s="1"/>
  <c r="W23" i="16" s="1"/>
  <c r="X23" i="16" s="1"/>
  <c r="DA42" i="16"/>
  <c r="CW18" i="9"/>
  <c r="CZ21" i="16"/>
  <c r="CZ10" i="16"/>
  <c r="CW24" i="9"/>
  <c r="CW14" i="9"/>
  <c r="CZ47" i="16"/>
  <c r="CW42" i="9"/>
  <c r="CW41" i="9"/>
  <c r="CW47" i="9"/>
  <c r="CW11" i="9"/>
  <c r="CZ19" i="16"/>
  <c r="CZ12" i="16"/>
  <c r="F17" i="9"/>
  <c r="B123" i="9" s="1"/>
  <c r="Q54" i="9"/>
  <c r="AK54" i="9" s="1"/>
  <c r="AL54" i="9" s="1"/>
  <c r="Q21" i="9"/>
  <c r="S21" i="9" s="1"/>
  <c r="CA21" i="9" s="1"/>
  <c r="Q12" i="9"/>
  <c r="AK12" i="9" s="1"/>
  <c r="AL12" i="9" s="1"/>
  <c r="F19" i="9"/>
  <c r="B122" i="9" s="1"/>
  <c r="D122" i="9" s="1"/>
  <c r="Q19" i="9"/>
  <c r="AK19" i="9" s="1"/>
  <c r="AL19" i="9" s="1"/>
  <c r="Q4" i="9"/>
  <c r="T4" i="9" s="1"/>
  <c r="V47" i="16"/>
  <c r="U47" i="16" s="1"/>
  <c r="W47" i="16" s="1"/>
  <c r="X47" i="16" s="1"/>
  <c r="V6" i="16"/>
  <c r="U6" i="16" s="1"/>
  <c r="W6" i="16" s="1"/>
  <c r="X6" i="16" s="1"/>
  <c r="CW49" i="9"/>
  <c r="CW12" i="9"/>
  <c r="CZ43" i="16"/>
  <c r="CZ22" i="16"/>
  <c r="Q49" i="9"/>
  <c r="S49" i="9" s="1"/>
  <c r="CA49" i="9" s="1"/>
  <c r="Q50" i="9"/>
  <c r="AK50" i="9" s="1"/>
  <c r="AL50" i="9" s="1"/>
  <c r="Q47" i="9"/>
  <c r="Y47" i="9" s="1"/>
  <c r="V15" i="16"/>
  <c r="U15" i="16" s="1"/>
  <c r="W15" i="16" s="1"/>
  <c r="X15" i="16" s="1"/>
  <c r="V49" i="16"/>
  <c r="U49" i="16" s="1"/>
  <c r="W49" i="16" s="1"/>
  <c r="X49" i="16" s="1"/>
  <c r="CZ42" i="16"/>
  <c r="CW45" i="9"/>
  <c r="CZ36" i="16"/>
  <c r="CZ6" i="16"/>
  <c r="Q17" i="9"/>
  <c r="AK17" i="9" s="1"/>
  <c r="AL17" i="9" s="1"/>
  <c r="Q18" i="9"/>
  <c r="AK18" i="9" s="1"/>
  <c r="AL18" i="9" s="1"/>
  <c r="V51" i="16"/>
  <c r="U51" i="16" s="1"/>
  <c r="W51" i="16" s="1"/>
  <c r="X51" i="16" s="1"/>
  <c r="V45" i="16"/>
  <c r="U45" i="16" s="1"/>
  <c r="W45" i="16" s="1"/>
  <c r="X45" i="16" s="1"/>
  <c r="CZ34" i="16"/>
  <c r="CZ7" i="16"/>
  <c r="CW23" i="9"/>
  <c r="CZ25" i="16"/>
  <c r="Q39" i="9"/>
  <c r="AK39" i="9" s="1"/>
  <c r="AL39" i="9" s="1"/>
  <c r="F18" i="9"/>
  <c r="B121" i="9" s="1"/>
  <c r="D121" i="9" s="1"/>
  <c r="V10" i="16"/>
  <c r="U10" i="16" s="1"/>
  <c r="W10" i="16" s="1"/>
  <c r="X10" i="16" s="1"/>
  <c r="V46" i="16"/>
  <c r="U46" i="16" s="1"/>
  <c r="W46" i="16" s="1"/>
  <c r="X46" i="16" s="1"/>
  <c r="CW46" i="9"/>
  <c r="CW32" i="9"/>
  <c r="CW4" i="9"/>
  <c r="CW22" i="9"/>
  <c r="Q35" i="9"/>
  <c r="AK35" i="9" s="1"/>
  <c r="AL35" i="9" s="1"/>
  <c r="Q28" i="9"/>
  <c r="AK28" i="9" s="1"/>
  <c r="AL28" i="9" s="1"/>
  <c r="Q26" i="9"/>
  <c r="AK26" i="9" s="1"/>
  <c r="AL26" i="9" s="1"/>
  <c r="B100" i="3"/>
  <c r="V25" i="16"/>
  <c r="U25" i="16" s="1"/>
  <c r="W25" i="16" s="1"/>
  <c r="X25" i="16" s="1"/>
  <c r="V24" i="16"/>
  <c r="U24" i="16" s="1"/>
  <c r="W24" i="16" s="1"/>
  <c r="X24" i="16" s="1"/>
  <c r="V13" i="16"/>
  <c r="U13" i="16" s="1"/>
  <c r="W13" i="16" s="1"/>
  <c r="X13" i="16" s="1"/>
  <c r="V31" i="16"/>
  <c r="U31" i="16" s="1"/>
  <c r="W31" i="16" s="1"/>
  <c r="X31" i="16" s="1"/>
  <c r="V18" i="16"/>
  <c r="U18" i="16" s="1"/>
  <c r="W18" i="16" s="1"/>
  <c r="X18" i="16" s="1"/>
  <c r="V22" i="16"/>
  <c r="U22" i="16" s="1"/>
  <c r="W22" i="16" s="1"/>
  <c r="X22" i="16" s="1"/>
  <c r="CZ35" i="16"/>
  <c r="CZ13" i="16"/>
  <c r="CW52" i="9"/>
  <c r="CW20" i="9"/>
  <c r="CZ51" i="16"/>
  <c r="CZ39" i="16"/>
  <c r="CW26" i="9"/>
  <c r="CW17" i="9"/>
  <c r="CW39" i="9"/>
  <c r="CW7" i="9"/>
  <c r="CZ24" i="16"/>
  <c r="CW43" i="9"/>
  <c r="Q34" i="9"/>
  <c r="Y34" i="9" s="1"/>
  <c r="Q46" i="9"/>
  <c r="AA46" i="9" s="1"/>
  <c r="AB46" i="9" s="1"/>
  <c r="Q13" i="9"/>
  <c r="AK13" i="9" s="1"/>
  <c r="AL13" i="9" s="1"/>
  <c r="Q43" i="9"/>
  <c r="AK43" i="9" s="1"/>
  <c r="AL43" i="9" s="1"/>
  <c r="Q48" i="9"/>
  <c r="AK48" i="9" s="1"/>
  <c r="AL48" i="9" s="1"/>
  <c r="Q42" i="9"/>
  <c r="AK42" i="9" s="1"/>
  <c r="AL42" i="9" s="1"/>
  <c r="Q38" i="9"/>
  <c r="AK38" i="9" s="1"/>
  <c r="AL38" i="9" s="1"/>
  <c r="CF10" i="2"/>
  <c r="BX47" i="2"/>
  <c r="CE47" i="2" s="1"/>
  <c r="BX14" i="2"/>
  <c r="CE14" i="2" s="1"/>
  <c r="R23" i="2"/>
  <c r="CH23" i="2" s="1"/>
  <c r="R10" i="2"/>
  <c r="CH10" i="2" s="1"/>
  <c r="CF28" i="2"/>
  <c r="CF23" i="2"/>
  <c r="BX8" i="2"/>
  <c r="CE8" i="2" s="1"/>
  <c r="R27" i="2"/>
  <c r="CH27" i="2" s="1"/>
  <c r="CF34" i="2"/>
  <c r="BX43" i="2"/>
  <c r="CE43" i="2" s="1"/>
  <c r="CF27" i="2"/>
  <c r="CG4" i="2"/>
  <c r="CH4" i="2"/>
  <c r="BX18" i="2"/>
  <c r="CE18" i="2" s="1"/>
  <c r="BX11" i="2"/>
  <c r="CE11" i="2" s="1"/>
  <c r="BX42" i="2"/>
  <c r="CE42" i="2" s="1"/>
  <c r="BX31" i="2"/>
  <c r="CE31" i="2" s="1"/>
  <c r="CF53" i="2"/>
  <c r="BX25" i="2"/>
  <c r="CE25" i="2" s="1"/>
  <c r="B75" i="3"/>
  <c r="J75" i="3"/>
  <c r="M75" i="3" s="1"/>
  <c r="BL28" i="8" s="1"/>
  <c r="CK29" i="16"/>
  <c r="CA29" i="16"/>
  <c r="CI29" i="16" s="1"/>
  <c r="CJ29" i="16"/>
  <c r="CK27" i="16"/>
  <c r="CA27" i="16"/>
  <c r="CI27" i="16" s="1"/>
  <c r="CJ27" i="16"/>
  <c r="CK7" i="16"/>
  <c r="CA7" i="16"/>
  <c r="CI7" i="16" s="1"/>
  <c r="CJ7" i="16"/>
  <c r="CK26" i="16"/>
  <c r="CA26" i="16"/>
  <c r="CI26" i="16" s="1"/>
  <c r="CJ26" i="16"/>
  <c r="CK43" i="16"/>
  <c r="CA43" i="16"/>
  <c r="CI43" i="16" s="1"/>
  <c r="CJ43" i="16"/>
  <c r="CK39" i="16"/>
  <c r="CA39" i="16"/>
  <c r="CI39" i="16" s="1"/>
  <c r="CJ39" i="16"/>
  <c r="CK47" i="16"/>
  <c r="CA47" i="16"/>
  <c r="CI47" i="16" s="1"/>
  <c r="CJ47" i="16"/>
  <c r="CK21" i="16"/>
  <c r="CA21" i="16"/>
  <c r="CI21" i="16" s="1"/>
  <c r="CJ21" i="16"/>
  <c r="CK24" i="16"/>
  <c r="CA24" i="16"/>
  <c r="CI24" i="16" s="1"/>
  <c r="CJ24" i="16"/>
  <c r="CK35" i="16"/>
  <c r="CA35" i="16"/>
  <c r="CI35" i="16" s="1"/>
  <c r="CJ35" i="16"/>
  <c r="CK23" i="16"/>
  <c r="CA23" i="16"/>
  <c r="CI23" i="16" s="1"/>
  <c r="CJ23" i="16"/>
  <c r="CK52" i="16"/>
  <c r="CA52" i="16"/>
  <c r="CI52" i="16" s="1"/>
  <c r="CJ52" i="16"/>
  <c r="CK44" i="16"/>
  <c r="CA44" i="16"/>
  <c r="CI44" i="16" s="1"/>
  <c r="CJ44" i="16"/>
  <c r="CK36" i="16"/>
  <c r="CA36" i="16"/>
  <c r="CI36" i="16" s="1"/>
  <c r="CJ36" i="16"/>
  <c r="O9" i="2"/>
  <c r="N13" i="2"/>
  <c r="O24" i="2"/>
  <c r="N4" i="2"/>
  <c r="O15" i="2"/>
  <c r="O35" i="2"/>
  <c r="P52" i="2"/>
  <c r="BM43" i="8"/>
  <c r="CR26" i="2"/>
  <c r="P18" i="2"/>
  <c r="CR54" i="2"/>
  <c r="P21" i="2"/>
  <c r="N26" i="2"/>
  <c r="P5" i="2"/>
  <c r="N6" i="2"/>
  <c r="O21" i="2"/>
  <c r="B40" i="2"/>
  <c r="B96" i="22" s="1"/>
  <c r="N37" i="2"/>
  <c r="N43" i="2"/>
  <c r="Y10" i="2"/>
  <c r="P27" i="2"/>
  <c r="O38" i="2"/>
  <c r="O42" i="2"/>
  <c r="O22" i="2"/>
  <c r="O28" i="2"/>
  <c r="N47" i="2"/>
  <c r="N10" i="2"/>
  <c r="N27" i="2"/>
  <c r="N52" i="2"/>
  <c r="P7" i="2"/>
  <c r="N15" i="2"/>
  <c r="P30" i="2"/>
  <c r="N46" i="2"/>
  <c r="P34" i="2"/>
  <c r="P15" i="2"/>
  <c r="O53" i="2"/>
  <c r="O19" i="2"/>
  <c r="P36" i="2"/>
  <c r="O16" i="2"/>
  <c r="O40" i="2"/>
  <c r="P48" i="2"/>
  <c r="P14" i="2"/>
  <c r="N30" i="2"/>
  <c r="F27" i="2"/>
  <c r="BM7" i="8"/>
  <c r="N21" i="2"/>
  <c r="P23" i="2"/>
  <c r="N45" i="2"/>
  <c r="P45" i="2"/>
  <c r="N50" i="2"/>
  <c r="P8" i="2"/>
  <c r="N16" i="2"/>
  <c r="P25" i="2"/>
  <c r="O33" i="2"/>
  <c r="BQ44" i="8"/>
  <c r="N49" i="2"/>
  <c r="P10" i="2"/>
  <c r="N17" i="2"/>
  <c r="P37" i="2"/>
  <c r="N42" i="2"/>
  <c r="O51" i="2"/>
  <c r="N8" i="2"/>
  <c r="P17" i="2"/>
  <c r="O25" i="2"/>
  <c r="P42" i="2"/>
  <c r="P31" i="2"/>
  <c r="N25" i="2"/>
  <c r="O20" i="2"/>
  <c r="O26" i="2"/>
  <c r="P32" i="2"/>
  <c r="N40" i="2"/>
  <c r="P49" i="2"/>
  <c r="P6" i="2"/>
  <c r="N14" i="2"/>
  <c r="BQ48" i="8"/>
  <c r="N29" i="2"/>
  <c r="P26" i="2"/>
  <c r="N20" i="2"/>
  <c r="P50" i="2"/>
  <c r="N23" i="2"/>
  <c r="O29" i="2"/>
  <c r="P38" i="2"/>
  <c r="O46" i="2"/>
  <c r="N54" i="2"/>
  <c r="P12" i="2"/>
  <c r="BQ4" i="8"/>
  <c r="BQ38" i="8"/>
  <c r="BQ21" i="8"/>
  <c r="BQ14" i="8"/>
  <c r="BQ39" i="8"/>
  <c r="BQ37" i="8"/>
  <c r="BQ13" i="8"/>
  <c r="BQ11" i="8"/>
  <c r="Y45" i="2"/>
  <c r="BQ16" i="8"/>
  <c r="BM44" i="8"/>
  <c r="BQ29" i="8"/>
  <c r="CR42" i="2"/>
  <c r="BM41" i="8"/>
  <c r="AV27" i="2"/>
  <c r="AZ27" i="2" s="1"/>
  <c r="BM23" i="8"/>
  <c r="BM30" i="8"/>
  <c r="R8" i="2"/>
  <c r="CR11" i="2"/>
  <c r="R15" i="2"/>
  <c r="BM12" i="8"/>
  <c r="Y41" i="2"/>
  <c r="BM15" i="8"/>
  <c r="BM35" i="8"/>
  <c r="BM17" i="8"/>
  <c r="BM40" i="8"/>
  <c r="BM29" i="8"/>
  <c r="BM8" i="8"/>
  <c r="BM48" i="8"/>
  <c r="BM54" i="8"/>
  <c r="BM32" i="8"/>
  <c r="F25" i="2"/>
  <c r="BM46" i="8"/>
  <c r="BM49" i="8"/>
  <c r="BM51" i="8"/>
  <c r="BM13" i="8"/>
  <c r="BM27" i="8"/>
  <c r="BM25" i="8"/>
  <c r="G76" i="3"/>
  <c r="M76" i="3" s="1"/>
  <c r="BN20" i="8" s="1"/>
  <c r="P19" i="2"/>
  <c r="P11" i="2"/>
  <c r="O8" i="2"/>
  <c r="N33" i="2"/>
  <c r="O12" i="2"/>
  <c r="P35" i="2"/>
  <c r="O32" i="2"/>
  <c r="N39" i="2"/>
  <c r="O18" i="2"/>
  <c r="O45" i="2"/>
  <c r="P24" i="2"/>
  <c r="P54" i="2"/>
  <c r="N32" i="2"/>
  <c r="O11" i="2"/>
  <c r="P41" i="2"/>
  <c r="N19" i="2"/>
  <c r="O49" i="2"/>
  <c r="P28" i="2"/>
  <c r="O6" i="2"/>
  <c r="BM39" i="8"/>
  <c r="BM45" i="8"/>
  <c r="BM24" i="8"/>
  <c r="BM38" i="8"/>
  <c r="P4" i="2"/>
  <c r="BM53" i="8"/>
  <c r="BM50" i="8"/>
  <c r="BM36" i="8"/>
  <c r="BM6" i="8"/>
  <c r="BM37" i="8"/>
  <c r="BM21" i="8"/>
  <c r="O47" i="2"/>
  <c r="N44" i="2"/>
  <c r="N41" i="2"/>
  <c r="N53" i="2"/>
  <c r="O5" i="2"/>
  <c r="N12" i="2"/>
  <c r="N9" i="2"/>
  <c r="O34" i="2"/>
  <c r="P13" i="2"/>
  <c r="P40" i="2"/>
  <c r="N18" i="2"/>
  <c r="N48" i="2"/>
  <c r="O27" i="2"/>
  <c r="N5" i="2"/>
  <c r="N35" i="2"/>
  <c r="O14" i="2"/>
  <c r="P44" i="2"/>
  <c r="N22" i="2"/>
  <c r="BM18" i="8"/>
  <c r="BM11" i="8"/>
  <c r="BM26" i="8"/>
  <c r="B76" i="3"/>
  <c r="O4" i="2"/>
  <c r="BM4" i="8"/>
  <c r="BM47" i="8"/>
  <c r="BM31" i="8"/>
  <c r="BM5" i="8"/>
  <c r="BM34" i="8"/>
  <c r="BM20" i="8"/>
  <c r="J77" i="3"/>
  <c r="BO16" i="8" s="1"/>
  <c r="O52" i="2"/>
  <c r="O44" i="2"/>
  <c r="O39" i="2"/>
  <c r="N36" i="2"/>
  <c r="O48" i="2"/>
  <c r="P51" i="2"/>
  <c r="O7" i="2"/>
  <c r="P53" i="2"/>
  <c r="N31" i="2"/>
  <c r="O10" i="2"/>
  <c r="O37" i="2"/>
  <c r="P16" i="2"/>
  <c r="P46" i="2"/>
  <c r="N24" i="2"/>
  <c r="O54" i="2"/>
  <c r="P33" i="2"/>
  <c r="N11" i="2"/>
  <c r="O41" i="2"/>
  <c r="P20" i="2"/>
  <c r="CR33" i="2"/>
  <c r="BM52" i="8"/>
  <c r="BM10" i="8"/>
  <c r="BM22" i="8"/>
  <c r="F26" i="2"/>
  <c r="B23" i="22" s="1"/>
  <c r="BM9" i="8"/>
  <c r="BM19" i="8"/>
  <c r="BM42" i="8"/>
  <c r="BM14" i="8"/>
  <c r="BM28" i="8"/>
  <c r="BM33" i="8"/>
  <c r="B77" i="3"/>
  <c r="P47" i="2"/>
  <c r="P39" i="2"/>
  <c r="O36" i="2"/>
  <c r="O31" i="2"/>
  <c r="P43" i="2"/>
  <c r="O23" i="2"/>
  <c r="N28" i="2"/>
  <c r="O50" i="2"/>
  <c r="P29" i="2"/>
  <c r="N7" i="2"/>
  <c r="N34" i="2"/>
  <c r="O13" i="2"/>
  <c r="O43" i="2"/>
  <c r="P22" i="2"/>
  <c r="N51" i="2"/>
  <c r="O30" i="2"/>
  <c r="P9" i="2"/>
  <c r="N38" i="2"/>
  <c r="CR53" i="2"/>
  <c r="R9" i="2"/>
  <c r="AB29" i="2"/>
  <c r="BQ49" i="8"/>
  <c r="BQ23" i="8"/>
  <c r="BQ7" i="8"/>
  <c r="R19" i="2"/>
  <c r="CR21" i="2"/>
  <c r="CR8" i="2"/>
  <c r="CR37" i="2"/>
  <c r="R34" i="2"/>
  <c r="CR50" i="2"/>
  <c r="CR43" i="2"/>
  <c r="CR32" i="2"/>
  <c r="BQ32" i="8"/>
  <c r="BQ40" i="8"/>
  <c r="BQ10" i="8"/>
  <c r="CR38" i="2"/>
  <c r="CR44" i="2"/>
  <c r="CR13" i="2"/>
  <c r="R11" i="2"/>
  <c r="AV5" i="2"/>
  <c r="AW5" i="2" s="1"/>
  <c r="AX5" i="2" s="1"/>
  <c r="BQ53" i="8"/>
  <c r="BQ30" i="8"/>
  <c r="BQ28" i="8"/>
  <c r="BQ6" i="8"/>
  <c r="R48" i="2"/>
  <c r="CR24" i="2"/>
  <c r="CR10" i="2"/>
  <c r="CR36" i="2"/>
  <c r="Y31" i="2"/>
  <c r="BQ51" i="8"/>
  <c r="BQ45" i="8"/>
  <c r="BQ43" i="8"/>
  <c r="G78" i="3"/>
  <c r="M78" i="3" s="1"/>
  <c r="BR54" i="8" s="1"/>
  <c r="CR17" i="2"/>
  <c r="CR7" i="2"/>
  <c r="CR49" i="2"/>
  <c r="CR52" i="2"/>
  <c r="CR34" i="2"/>
  <c r="CR40" i="2"/>
  <c r="R39" i="2"/>
  <c r="CR6" i="2"/>
  <c r="CR27" i="2"/>
  <c r="CR45" i="2"/>
  <c r="CR9" i="2"/>
  <c r="CR47" i="2"/>
  <c r="CR16" i="2"/>
  <c r="R28" i="2"/>
  <c r="BQ25" i="8"/>
  <c r="BQ31" i="8"/>
  <c r="BQ24" i="8"/>
  <c r="BQ33" i="8"/>
  <c r="BQ20" i="8"/>
  <c r="BQ9" i="8"/>
  <c r="CR30" i="2"/>
  <c r="CR48" i="2"/>
  <c r="CR5" i="2"/>
  <c r="R22" i="2"/>
  <c r="CR19" i="2"/>
  <c r="CR25" i="2"/>
  <c r="CR15" i="2"/>
  <c r="CR20" i="2"/>
  <c r="CR51" i="2"/>
  <c r="CR31" i="2"/>
  <c r="CR22" i="2"/>
  <c r="BQ47" i="8"/>
  <c r="BQ54" i="8"/>
  <c r="BQ36" i="8"/>
  <c r="BQ22" i="8"/>
  <c r="BQ27" i="8"/>
  <c r="BQ12" i="8"/>
  <c r="BQ5" i="8"/>
  <c r="CR46" i="2"/>
  <c r="CR29" i="2"/>
  <c r="CR4" i="2"/>
  <c r="CR12" i="2"/>
  <c r="R53" i="2"/>
  <c r="R18" i="2"/>
  <c r="CR39" i="2"/>
  <c r="CR18" i="2"/>
  <c r="CR14" i="2"/>
  <c r="BQ46" i="8"/>
  <c r="BQ42" i="8"/>
  <c r="BQ35" i="8"/>
  <c r="BQ15" i="8"/>
  <c r="BQ26" i="8"/>
  <c r="BQ18" i="8"/>
  <c r="BQ8" i="8"/>
  <c r="B78" i="3"/>
  <c r="R50" i="2"/>
  <c r="R54" i="2"/>
  <c r="R51" i="2"/>
  <c r="CR35" i="2"/>
  <c r="CR41" i="2"/>
  <c r="AV25" i="2"/>
  <c r="AZ25" i="2" s="1"/>
  <c r="CR23" i="2"/>
  <c r="BQ50" i="8"/>
  <c r="BQ41" i="8"/>
  <c r="BQ34" i="8"/>
  <c r="BQ52" i="8"/>
  <c r="BQ19" i="8"/>
  <c r="R41" i="2"/>
  <c r="CR28" i="2"/>
  <c r="R32" i="2"/>
  <c r="R35" i="2"/>
  <c r="R6" i="2"/>
  <c r="AC13" i="2"/>
  <c r="R24" i="2"/>
  <c r="R20" i="2"/>
  <c r="R12" i="2"/>
  <c r="R26" i="2"/>
  <c r="AV42" i="2"/>
  <c r="BA42" i="2" s="1"/>
  <c r="BB42" i="2" s="1"/>
  <c r="R42" i="2"/>
  <c r="R25" i="2"/>
  <c r="R46" i="2"/>
  <c r="BX54" i="8"/>
  <c r="CE54" i="8" s="1"/>
  <c r="R54" i="8"/>
  <c r="AV44" i="2"/>
  <c r="AW44" i="2" s="1"/>
  <c r="AX44" i="2" s="1"/>
  <c r="R14" i="2"/>
  <c r="R16" i="2"/>
  <c r="R44" i="2"/>
  <c r="R30" i="2"/>
  <c r="R33" i="2"/>
  <c r="R43" i="2"/>
  <c r="R40" i="2"/>
  <c r="R38" i="2"/>
  <c r="AB47" i="2"/>
  <c r="R7" i="2"/>
  <c r="R52" i="2"/>
  <c r="R36" i="2"/>
  <c r="R17" i="2"/>
  <c r="R47" i="2"/>
  <c r="R37" i="2"/>
  <c r="R31" i="2"/>
  <c r="R49" i="2"/>
  <c r="R13" i="2"/>
  <c r="BQ38" i="9"/>
  <c r="BY38" i="9" s="1"/>
  <c r="BZ38" i="9"/>
  <c r="BQ27" i="9"/>
  <c r="BY27" i="9" s="1"/>
  <c r="BZ27" i="9"/>
  <c r="BQ15" i="9"/>
  <c r="BY15" i="9" s="1"/>
  <c r="BZ15" i="9"/>
  <c r="BQ48" i="9"/>
  <c r="BY48" i="9" s="1"/>
  <c r="BZ48" i="9"/>
  <c r="BQ47" i="9"/>
  <c r="BY47" i="9" s="1"/>
  <c r="BZ47" i="9"/>
  <c r="BQ6" i="9"/>
  <c r="BY6" i="9" s="1"/>
  <c r="BZ6" i="9"/>
  <c r="BQ34" i="9"/>
  <c r="BY34" i="9" s="1"/>
  <c r="BZ34" i="9"/>
  <c r="BQ14" i="9"/>
  <c r="BY14" i="9" s="1"/>
  <c r="BZ14" i="9"/>
  <c r="BQ19" i="9"/>
  <c r="BY19" i="9" s="1"/>
  <c r="BZ19" i="9"/>
  <c r="BQ41" i="9"/>
  <c r="BY41" i="9" s="1"/>
  <c r="BZ41" i="9"/>
  <c r="BQ40" i="9"/>
  <c r="BY40" i="9" s="1"/>
  <c r="BZ40" i="9"/>
  <c r="BQ52" i="9"/>
  <c r="BY52" i="9" s="1"/>
  <c r="BZ52" i="9"/>
  <c r="BQ53" i="9"/>
  <c r="BY53" i="9" s="1"/>
  <c r="BZ53" i="9"/>
  <c r="BQ18" i="9"/>
  <c r="BY18" i="9" s="1"/>
  <c r="BZ18" i="9"/>
  <c r="BQ28" i="9"/>
  <c r="BY28" i="9" s="1"/>
  <c r="BZ28" i="9"/>
  <c r="BQ21" i="9"/>
  <c r="BY21" i="9" s="1"/>
  <c r="BZ21" i="9"/>
  <c r="BQ23" i="9"/>
  <c r="BY23" i="9" s="1"/>
  <c r="BZ23" i="9"/>
  <c r="BQ13" i="9"/>
  <c r="BY13" i="9" s="1"/>
  <c r="BZ13" i="9"/>
  <c r="BQ29" i="9"/>
  <c r="BY29" i="9" s="1"/>
  <c r="BZ29" i="9"/>
  <c r="BQ10" i="9"/>
  <c r="BY10" i="9" s="1"/>
  <c r="BZ10" i="9"/>
  <c r="BQ11" i="9"/>
  <c r="BY11" i="9" s="1"/>
  <c r="BZ11" i="9"/>
  <c r="BQ5" i="9"/>
  <c r="BY5" i="9" s="1"/>
  <c r="BZ5" i="9"/>
  <c r="BQ7" i="9"/>
  <c r="BY7" i="9" s="1"/>
  <c r="BZ7" i="9"/>
  <c r="BQ17" i="9"/>
  <c r="BY17" i="9" s="1"/>
  <c r="BZ17" i="9"/>
  <c r="BQ43" i="9"/>
  <c r="BY43" i="9" s="1"/>
  <c r="BZ43" i="9"/>
  <c r="BQ39" i="9"/>
  <c r="BY39" i="9" s="1"/>
  <c r="BZ39" i="9"/>
  <c r="BQ12" i="9"/>
  <c r="BY12" i="9" s="1"/>
  <c r="BZ12" i="9"/>
  <c r="BQ33" i="9"/>
  <c r="BY33" i="9" s="1"/>
  <c r="BZ33" i="9"/>
  <c r="BQ24" i="9"/>
  <c r="BY24" i="9" s="1"/>
  <c r="BZ24" i="9"/>
  <c r="BQ16" i="9"/>
  <c r="BY16" i="9" s="1"/>
  <c r="BZ16" i="9"/>
  <c r="BQ46" i="9"/>
  <c r="BY46" i="9" s="1"/>
  <c r="BZ46" i="9"/>
  <c r="BQ54" i="9"/>
  <c r="BY54" i="9" s="1"/>
  <c r="BZ54" i="9"/>
  <c r="BQ30" i="9"/>
  <c r="BY30" i="9" s="1"/>
  <c r="BZ30" i="9"/>
  <c r="BQ37" i="9"/>
  <c r="BY37" i="9" s="1"/>
  <c r="BZ37" i="9"/>
  <c r="BQ50" i="9"/>
  <c r="BY50" i="9" s="1"/>
  <c r="BZ50" i="9"/>
  <c r="BQ36" i="9"/>
  <c r="BY36" i="9" s="1"/>
  <c r="BZ36" i="9"/>
  <c r="BQ44" i="9"/>
  <c r="BY44" i="9" s="1"/>
  <c r="BZ44" i="9"/>
  <c r="BQ20" i="9"/>
  <c r="BY20" i="9" s="1"/>
  <c r="BZ20" i="9"/>
  <c r="BQ9" i="9"/>
  <c r="BY9" i="9" s="1"/>
  <c r="BZ9" i="9"/>
  <c r="BQ31" i="9"/>
  <c r="BY31" i="9" s="1"/>
  <c r="BZ31" i="9"/>
  <c r="BQ49" i="9"/>
  <c r="BY49" i="9" s="1"/>
  <c r="BZ49" i="9"/>
  <c r="BQ35" i="9"/>
  <c r="BY35" i="9" s="1"/>
  <c r="BZ35" i="9"/>
  <c r="BQ26" i="9"/>
  <c r="BY26" i="9" s="1"/>
  <c r="BZ26" i="9"/>
  <c r="BQ45" i="9"/>
  <c r="BY45" i="9" s="1"/>
  <c r="BZ45" i="9"/>
  <c r="BQ8" i="9"/>
  <c r="BY8" i="9" s="1"/>
  <c r="BZ8" i="9"/>
  <c r="BQ51" i="9"/>
  <c r="BY51" i="9" s="1"/>
  <c r="BZ51" i="9"/>
  <c r="BQ42" i="9"/>
  <c r="BY42" i="9" s="1"/>
  <c r="BZ42" i="9"/>
  <c r="BQ32" i="9"/>
  <c r="BY32" i="9" s="1"/>
  <c r="BZ32" i="9"/>
  <c r="BQ22" i="9"/>
  <c r="BY22" i="9" s="1"/>
  <c r="BZ22" i="9"/>
  <c r="BQ25" i="9"/>
  <c r="BY25" i="9" s="1"/>
  <c r="BZ25" i="9"/>
  <c r="BQ4" i="9"/>
  <c r="BY4" i="9" s="1"/>
  <c r="BZ4" i="9"/>
  <c r="CF38" i="8"/>
  <c r="BX38" i="8"/>
  <c r="CE38" i="8" s="1"/>
  <c r="CF23" i="8"/>
  <c r="BX23" i="8"/>
  <c r="CE23" i="8" s="1"/>
  <c r="CF6" i="8"/>
  <c r="BX6" i="8"/>
  <c r="CE6" i="8" s="1"/>
  <c r="CF17" i="8"/>
  <c r="BX17" i="8"/>
  <c r="CE17" i="8" s="1"/>
  <c r="CF16" i="8"/>
  <c r="BX16" i="8"/>
  <c r="CE16" i="8" s="1"/>
  <c r="CF45" i="8"/>
  <c r="BX45" i="8"/>
  <c r="CE45" i="8" s="1"/>
  <c r="CF18" i="8"/>
  <c r="BX18" i="8"/>
  <c r="CE18" i="8" s="1"/>
  <c r="CF33" i="8"/>
  <c r="BX33" i="8"/>
  <c r="CE33" i="8" s="1"/>
  <c r="CF25" i="8"/>
  <c r="BX25" i="8"/>
  <c r="CE25" i="8" s="1"/>
  <c r="CF44" i="8"/>
  <c r="BX44" i="8"/>
  <c r="CE44" i="8" s="1"/>
  <c r="CF40" i="8"/>
  <c r="BX40" i="8"/>
  <c r="CE40" i="8" s="1"/>
  <c r="CF32" i="8"/>
  <c r="BX32" i="8"/>
  <c r="CE32" i="8" s="1"/>
  <c r="CF13" i="8"/>
  <c r="BX13" i="8"/>
  <c r="CE13" i="8" s="1"/>
  <c r="CF47" i="8"/>
  <c r="BX47" i="8"/>
  <c r="CE47" i="8" s="1"/>
  <c r="CF14" i="8"/>
  <c r="BX14" i="8"/>
  <c r="CE14" i="8" s="1"/>
  <c r="CF42" i="8"/>
  <c r="BX42" i="8"/>
  <c r="CE42" i="8" s="1"/>
  <c r="CF51" i="8"/>
  <c r="BX51" i="8"/>
  <c r="CE51" i="8" s="1"/>
  <c r="CF50" i="8"/>
  <c r="BX50" i="8"/>
  <c r="CE50" i="8" s="1"/>
  <c r="CF19" i="8"/>
  <c r="BX19" i="8"/>
  <c r="CE19" i="8" s="1"/>
  <c r="CF53" i="8"/>
  <c r="BX53" i="8"/>
  <c r="CE53" i="8" s="1"/>
  <c r="CF11" i="8"/>
  <c r="BX11" i="8"/>
  <c r="CE11" i="8" s="1"/>
  <c r="CF35" i="8"/>
  <c r="BX35" i="8"/>
  <c r="CE35" i="8" s="1"/>
  <c r="CF39" i="8"/>
  <c r="BX39" i="8"/>
  <c r="CE39" i="8" s="1"/>
  <c r="CF15" i="8"/>
  <c r="BX15" i="8"/>
  <c r="CE15" i="8" s="1"/>
  <c r="CF37" i="8"/>
  <c r="BX37" i="8"/>
  <c r="CE37" i="8" s="1"/>
  <c r="CF21" i="8"/>
  <c r="BX21" i="8"/>
  <c r="CE21" i="8" s="1"/>
  <c r="CF5" i="8"/>
  <c r="BX5" i="8"/>
  <c r="CE5" i="8" s="1"/>
  <c r="CF43" i="8"/>
  <c r="BX43" i="8"/>
  <c r="CE43" i="8" s="1"/>
  <c r="CF48" i="8"/>
  <c r="BX48" i="8"/>
  <c r="CE48" i="8" s="1"/>
  <c r="CF24" i="8"/>
  <c r="BX24" i="8"/>
  <c r="CE24" i="8" s="1"/>
  <c r="CF27" i="8"/>
  <c r="BX27" i="8"/>
  <c r="CE27" i="8" s="1"/>
  <c r="CF41" i="8"/>
  <c r="BX41" i="8"/>
  <c r="CE41" i="8" s="1"/>
  <c r="CF30" i="8"/>
  <c r="BX30" i="8"/>
  <c r="CE30" i="8" s="1"/>
  <c r="CF52" i="8"/>
  <c r="BX52" i="8"/>
  <c r="CE52" i="8" s="1"/>
  <c r="CF7" i="8"/>
  <c r="BX7" i="8"/>
  <c r="CE7" i="8" s="1"/>
  <c r="CF26" i="8"/>
  <c r="BX26" i="8"/>
  <c r="CE26" i="8" s="1"/>
  <c r="CF34" i="8"/>
  <c r="BX34" i="8"/>
  <c r="CE34" i="8" s="1"/>
  <c r="CF12" i="8"/>
  <c r="BX12" i="8"/>
  <c r="CE12" i="8" s="1"/>
  <c r="CF49" i="8"/>
  <c r="BX49" i="8"/>
  <c r="CE49" i="8" s="1"/>
  <c r="CF9" i="8"/>
  <c r="BX9" i="8"/>
  <c r="CE9" i="8" s="1"/>
  <c r="CF46" i="8"/>
  <c r="BX46" i="8"/>
  <c r="CE46" i="8" s="1"/>
  <c r="CF10" i="8"/>
  <c r="BX10" i="8"/>
  <c r="CE10" i="8" s="1"/>
  <c r="CF36" i="8"/>
  <c r="BX36" i="8"/>
  <c r="CE36" i="8" s="1"/>
  <c r="R20" i="8"/>
  <c r="CH20" i="8" s="1"/>
  <c r="CF20" i="8"/>
  <c r="CF4" i="8"/>
  <c r="R29" i="8"/>
  <c r="CH29" i="8" s="1"/>
  <c r="CF29" i="8"/>
  <c r="R31" i="8"/>
  <c r="CH31" i="8" s="1"/>
  <c r="CF31" i="8"/>
  <c r="CF54" i="8"/>
  <c r="R8" i="8"/>
  <c r="CH8" i="8" s="1"/>
  <c r="CF8" i="8"/>
  <c r="R22" i="8"/>
  <c r="CH22" i="8" s="1"/>
  <c r="CF22" i="8"/>
  <c r="R28" i="8"/>
  <c r="CH28" i="8" s="1"/>
  <c r="CF28" i="8"/>
  <c r="R27" i="8"/>
  <c r="CH27" i="8" s="1"/>
  <c r="R47" i="8"/>
  <c r="CH47" i="8" s="1"/>
  <c r="R19" i="8"/>
  <c r="CH19" i="8" s="1"/>
  <c r="R41" i="8"/>
  <c r="CH41" i="8" s="1"/>
  <c r="R14" i="8"/>
  <c r="CH14" i="8" s="1"/>
  <c r="R48" i="8"/>
  <c r="CH48" i="8" s="1"/>
  <c r="R24" i="8"/>
  <c r="CH24" i="8" s="1"/>
  <c r="R33" i="8"/>
  <c r="CH33" i="8" s="1"/>
  <c r="R25" i="8"/>
  <c r="CH25" i="8" s="1"/>
  <c r="R44" i="8"/>
  <c r="CH44" i="8" s="1"/>
  <c r="R32" i="8"/>
  <c r="CH32" i="8" s="1"/>
  <c r="R37" i="8"/>
  <c r="CH37" i="8" s="1"/>
  <c r="R46" i="8"/>
  <c r="CH46" i="8" s="1"/>
  <c r="R38" i="8"/>
  <c r="CH38" i="8" s="1"/>
  <c r="R23" i="8"/>
  <c r="CH23" i="8" s="1"/>
  <c r="R6" i="8"/>
  <c r="CH6" i="8" s="1"/>
  <c r="R17" i="8"/>
  <c r="CH17" i="8" s="1"/>
  <c r="R16" i="8"/>
  <c r="CH16" i="8" s="1"/>
  <c r="R45" i="8"/>
  <c r="CH45" i="8" s="1"/>
  <c r="R18" i="8"/>
  <c r="CH18" i="8" s="1"/>
  <c r="AV12" i="8"/>
  <c r="BA12" i="8" s="1"/>
  <c r="BB12" i="8" s="1"/>
  <c r="R15" i="8"/>
  <c r="CH15" i="8" s="1"/>
  <c r="R21" i="8"/>
  <c r="CH21" i="8" s="1"/>
  <c r="R9" i="8"/>
  <c r="CH9" i="8" s="1"/>
  <c r="R10" i="8"/>
  <c r="CH10" i="8" s="1"/>
  <c r="R36" i="8"/>
  <c r="CH36" i="8" s="1"/>
  <c r="R40" i="8"/>
  <c r="CH40" i="8" s="1"/>
  <c r="R13" i="8"/>
  <c r="CH13" i="8" s="1"/>
  <c r="Y21" i="8"/>
  <c r="R43" i="8"/>
  <c r="CH43" i="8" s="1"/>
  <c r="X38" i="8"/>
  <c r="AA38" i="8" s="1"/>
  <c r="R42" i="8"/>
  <c r="CH42" i="8" s="1"/>
  <c r="R30" i="8"/>
  <c r="CH30" i="8" s="1"/>
  <c r="R53" i="8"/>
  <c r="CH53" i="8" s="1"/>
  <c r="R52" i="8"/>
  <c r="CH52" i="8" s="1"/>
  <c r="R11" i="8"/>
  <c r="CH11" i="8" s="1"/>
  <c r="R7" i="8"/>
  <c r="CH7" i="8" s="1"/>
  <c r="AB15" i="8"/>
  <c r="R5" i="8"/>
  <c r="CH5" i="8" s="1"/>
  <c r="Y9" i="8"/>
  <c r="AV6" i="8"/>
  <c r="BC6" i="8" s="1"/>
  <c r="BD6" i="8" s="1"/>
  <c r="Y23" i="8"/>
  <c r="X36" i="8"/>
  <c r="AA36" i="8" s="1"/>
  <c r="R26" i="8"/>
  <c r="CH26" i="8" s="1"/>
  <c r="R51" i="8"/>
  <c r="CH51" i="8" s="1"/>
  <c r="BX4" i="8"/>
  <c r="CE4" i="8" s="1"/>
  <c r="R4" i="8"/>
  <c r="R34" i="8"/>
  <c r="CH34" i="8" s="1"/>
  <c r="R35" i="8"/>
  <c r="CH35" i="8" s="1"/>
  <c r="R12" i="8"/>
  <c r="CH12" i="8" s="1"/>
  <c r="R50" i="8"/>
  <c r="CH50" i="8" s="1"/>
  <c r="R39" i="8"/>
  <c r="CH39" i="8" s="1"/>
  <c r="R49" i="8"/>
  <c r="CH49" i="8" s="1"/>
  <c r="BX4" i="2"/>
  <c r="CE4" i="2" s="1"/>
  <c r="BX37" i="2"/>
  <c r="CE37" i="2" s="1"/>
  <c r="BX22" i="2"/>
  <c r="CE22" i="2" s="1"/>
  <c r="BX30" i="2"/>
  <c r="CE30" i="2" s="1"/>
  <c r="BX24" i="2"/>
  <c r="CE24" i="2" s="1"/>
  <c r="BX46" i="2"/>
  <c r="CE46" i="2" s="1"/>
  <c r="BX48" i="2"/>
  <c r="CE48" i="2" s="1"/>
  <c r="BX32" i="2"/>
  <c r="CE32" i="2" s="1"/>
  <c r="BX20" i="2"/>
  <c r="CE20" i="2" s="1"/>
  <c r="BX19" i="2"/>
  <c r="CE19" i="2" s="1"/>
  <c r="BX26" i="2"/>
  <c r="CE26" i="2" s="1"/>
  <c r="BX36" i="2"/>
  <c r="CE36" i="2" s="1"/>
  <c r="BX12" i="2"/>
  <c r="CE12" i="2" s="1"/>
  <c r="BX17" i="2"/>
  <c r="CE17" i="2" s="1"/>
  <c r="BX38" i="2"/>
  <c r="CE38" i="2" s="1"/>
  <c r="BX51" i="2"/>
  <c r="CE51" i="2" s="1"/>
  <c r="BX33" i="2"/>
  <c r="CE33" i="2" s="1"/>
  <c r="BX54" i="2"/>
  <c r="CE54" i="2" s="1"/>
  <c r="BX9" i="2"/>
  <c r="CE9" i="2" s="1"/>
  <c r="BX6" i="2"/>
  <c r="CE6" i="2" s="1"/>
  <c r="BX7" i="2"/>
  <c r="CE7" i="2" s="1"/>
  <c r="CG5" i="2"/>
  <c r="CG45" i="2"/>
  <c r="CG29" i="2"/>
  <c r="CG21" i="2"/>
  <c r="BA12" i="16"/>
  <c r="AX9" i="16"/>
  <c r="AY9" i="16" s="1"/>
  <c r="Q9" i="16"/>
  <c r="S9" i="16" s="1"/>
  <c r="BB9" i="16"/>
  <c r="BC9" i="16" s="1"/>
  <c r="DA50" i="16"/>
  <c r="BB12" i="16"/>
  <c r="BC12" i="16" s="1"/>
  <c r="DA46" i="16"/>
  <c r="AB49" i="2"/>
  <c r="Q23" i="16"/>
  <c r="DA23" i="16" s="1"/>
  <c r="DA8" i="16"/>
  <c r="DA37" i="16"/>
  <c r="DA49" i="16"/>
  <c r="CV46" i="16"/>
  <c r="DA41" i="16"/>
  <c r="CV42" i="16"/>
  <c r="CV49" i="16"/>
  <c r="CV13" i="16"/>
  <c r="DA13" i="16"/>
  <c r="P11" i="16"/>
  <c r="M11" i="16" s="1"/>
  <c r="AX11" i="16"/>
  <c r="AY11" i="16" s="1"/>
  <c r="CV41" i="16"/>
  <c r="CV16" i="16"/>
  <c r="CV8" i="16"/>
  <c r="DA53" i="16"/>
  <c r="DA38" i="16"/>
  <c r="DA51" i="16"/>
  <c r="CV48" i="16"/>
  <c r="DA48" i="16"/>
  <c r="AW23" i="16"/>
  <c r="BA23" i="16" s="1"/>
  <c r="CV38" i="16"/>
  <c r="CV50" i="16"/>
  <c r="CV51" i="16"/>
  <c r="CV37" i="16"/>
  <c r="DA4" i="16"/>
  <c r="BA15" i="16"/>
  <c r="AX34" i="16"/>
  <c r="AY34" i="16" s="1"/>
  <c r="AW47" i="16"/>
  <c r="BB47" i="16" s="1"/>
  <c r="BC47" i="16" s="1"/>
  <c r="BA9" i="16"/>
  <c r="Q47" i="16"/>
  <c r="BA10" i="16"/>
  <c r="BA19" i="16"/>
  <c r="BD9" i="16"/>
  <c r="BE9" i="16" s="1"/>
  <c r="P9" i="16"/>
  <c r="M9" i="16" s="1"/>
  <c r="P4" i="16"/>
  <c r="M4" i="16" s="1"/>
  <c r="AW4" i="16"/>
  <c r="AX4" i="16" s="1"/>
  <c r="AY4" i="16" s="1"/>
  <c r="BA34" i="16"/>
  <c r="X49" i="2"/>
  <c r="AZ34" i="16"/>
  <c r="P19" i="16"/>
  <c r="M19" i="16" s="1"/>
  <c r="Q19" i="16"/>
  <c r="BB18" i="16"/>
  <c r="BC18" i="16" s="1"/>
  <c r="BD19" i="16"/>
  <c r="BE19" i="16" s="1"/>
  <c r="BB34" i="16"/>
  <c r="BC34" i="16" s="1"/>
  <c r="P34" i="16"/>
  <c r="M34" i="16" s="1"/>
  <c r="AX19" i="16"/>
  <c r="AY19" i="16" s="1"/>
  <c r="Q34" i="16"/>
  <c r="BB19" i="16"/>
  <c r="BC19" i="16" s="1"/>
  <c r="AV4" i="2"/>
  <c r="AW4" i="2" s="1"/>
  <c r="AX4" i="2" s="1"/>
  <c r="S4" i="2"/>
  <c r="P18" i="16"/>
  <c r="M18" i="16" s="1"/>
  <c r="P15" i="16"/>
  <c r="M15" i="16" s="1"/>
  <c r="AZ15" i="16"/>
  <c r="AZ10" i="16"/>
  <c r="BD15" i="16"/>
  <c r="BE15" i="16" s="1"/>
  <c r="Q15" i="16"/>
  <c r="AW38" i="16"/>
  <c r="BA38" i="16" s="1"/>
  <c r="P38" i="16"/>
  <c r="M38" i="16" s="1"/>
  <c r="AZ18" i="16"/>
  <c r="Q10" i="16"/>
  <c r="AX15" i="16"/>
  <c r="AY15" i="16" s="1"/>
  <c r="AW50" i="16"/>
  <c r="AX50" i="16" s="1"/>
  <c r="AY50" i="16" s="1"/>
  <c r="AW53" i="16"/>
  <c r="BB53" i="16" s="1"/>
  <c r="BC53" i="16" s="1"/>
  <c r="AB4" i="2"/>
  <c r="AX18" i="16"/>
  <c r="AY18" i="16" s="1"/>
  <c r="AW21" i="16"/>
  <c r="BB21" i="16" s="1"/>
  <c r="BC21" i="16" s="1"/>
  <c r="BD18" i="16"/>
  <c r="BE18" i="16" s="1"/>
  <c r="P16" i="16"/>
  <c r="M16" i="16" s="1"/>
  <c r="P10" i="16"/>
  <c r="M10" i="16" s="1"/>
  <c r="BD10" i="16"/>
  <c r="BE10" i="16" s="1"/>
  <c r="Q18" i="16"/>
  <c r="AW16" i="16"/>
  <c r="BA16" i="16" s="1"/>
  <c r="S42" i="16"/>
  <c r="S53" i="16"/>
  <c r="S16" i="16"/>
  <c r="BD12" i="16"/>
  <c r="BE12" i="16" s="1"/>
  <c r="AZ11" i="16"/>
  <c r="Y4" i="2"/>
  <c r="Q11" i="16"/>
  <c r="P53" i="16"/>
  <c r="M53" i="16" s="1"/>
  <c r="Q21" i="16"/>
  <c r="AZ12" i="16"/>
  <c r="BA11" i="16"/>
  <c r="AW37" i="16"/>
  <c r="BA37" i="16" s="1"/>
  <c r="P37" i="16"/>
  <c r="M37" i="16" s="1"/>
  <c r="BD11" i="16"/>
  <c r="BE11" i="16" s="1"/>
  <c r="AC4" i="2"/>
  <c r="Q35" i="16"/>
  <c r="AW42" i="16"/>
  <c r="AZ42" i="16" s="1"/>
  <c r="P42" i="16"/>
  <c r="M42" i="16" s="1"/>
  <c r="AW35" i="16"/>
  <c r="BB35" i="16" s="1"/>
  <c r="BC35" i="16" s="1"/>
  <c r="X4" i="2"/>
  <c r="AX10" i="16"/>
  <c r="AY10" i="16" s="1"/>
  <c r="P50" i="16"/>
  <c r="M50" i="16" s="1"/>
  <c r="P12" i="16"/>
  <c r="M12" i="16" s="1"/>
  <c r="Q12" i="16"/>
  <c r="AC5" i="8"/>
  <c r="S9" i="8"/>
  <c r="AB34" i="2"/>
  <c r="Y19" i="2"/>
  <c r="AC22" i="8"/>
  <c r="X37" i="2"/>
  <c r="AC43" i="8"/>
  <c r="X24" i="2"/>
  <c r="AB19" i="2"/>
  <c r="Q39" i="16"/>
  <c r="AB24" i="2"/>
  <c r="B114" i="3"/>
  <c r="G114" i="3" s="1"/>
  <c r="AK15" i="9"/>
  <c r="AL15" i="9" s="1"/>
  <c r="AK37" i="9"/>
  <c r="AL37" i="9" s="1"/>
  <c r="AA34" i="9"/>
  <c r="AB34" i="9" s="1"/>
  <c r="AM11" i="9"/>
  <c r="AR11" i="9" s="1"/>
  <c r="AS11" i="9" s="1"/>
  <c r="AK11" i="9"/>
  <c r="AL11" i="9" s="1"/>
  <c r="AA30" i="9"/>
  <c r="AB30" i="9" s="1"/>
  <c r="AK30" i="9"/>
  <c r="AL30" i="9" s="1"/>
  <c r="AC50" i="2"/>
  <c r="AB30" i="8"/>
  <c r="AV22" i="8"/>
  <c r="AW22" i="8" s="1"/>
  <c r="AX22" i="8" s="1"/>
  <c r="P46" i="16"/>
  <c r="M46" i="16" s="1"/>
  <c r="AV10" i="2"/>
  <c r="BC10" i="2" s="1"/>
  <c r="BD10" i="2" s="1"/>
  <c r="AV12" i="2"/>
  <c r="BC12" i="2" s="1"/>
  <c r="BD12" i="2" s="1"/>
  <c r="AB14" i="2"/>
  <c r="X20" i="8"/>
  <c r="AA20" i="8" s="1"/>
  <c r="S33" i="2"/>
  <c r="Y12" i="2"/>
  <c r="Y33" i="2"/>
  <c r="AC20" i="8"/>
  <c r="X20" i="2"/>
  <c r="X8" i="8"/>
  <c r="AA8" i="8" s="1"/>
  <c r="AC33" i="2"/>
  <c r="AB49" i="8"/>
  <c r="AB8" i="8"/>
  <c r="AB33" i="2"/>
  <c r="Y49" i="2"/>
  <c r="AW39" i="16"/>
  <c r="BB39" i="16" s="1"/>
  <c r="BC39" i="16" s="1"/>
  <c r="AB20" i="8"/>
  <c r="AB30" i="2"/>
  <c r="X54" i="8"/>
  <c r="AA54" i="8" s="1"/>
  <c r="P49" i="16"/>
  <c r="M49" i="16" s="1"/>
  <c r="S54" i="8"/>
  <c r="S16" i="8"/>
  <c r="X27" i="2"/>
  <c r="X29" i="8"/>
  <c r="AA29" i="8" s="1"/>
  <c r="AC22" i="2"/>
  <c r="Q5" i="16"/>
  <c r="AC27" i="2"/>
  <c r="AB38" i="8"/>
  <c r="Y20" i="8"/>
  <c r="AV20" i="8"/>
  <c r="AW20" i="8" s="1"/>
  <c r="AX20" i="8" s="1"/>
  <c r="S39" i="8"/>
  <c r="AB35" i="2"/>
  <c r="X42" i="8"/>
  <c r="AA42" i="8" s="1"/>
  <c r="AB13" i="2"/>
  <c r="Y27" i="2"/>
  <c r="AC50" i="8"/>
  <c r="G151" i="3"/>
  <c r="M151" i="3" s="1"/>
  <c r="AB27" i="2"/>
  <c r="AC42" i="8"/>
  <c r="X6" i="8"/>
  <c r="AA6" i="8" s="1"/>
  <c r="P30" i="16"/>
  <c r="M30" i="16" s="1"/>
  <c r="Y22" i="2"/>
  <c r="AC33" i="8"/>
  <c r="S42" i="8"/>
  <c r="X22" i="2"/>
  <c r="AC14" i="2"/>
  <c r="Y22" i="8"/>
  <c r="Y25" i="8"/>
  <c r="Y39" i="8"/>
  <c r="Q17" i="16"/>
  <c r="AB31" i="8"/>
  <c r="AD31" i="8" s="1"/>
  <c r="AC6" i="2"/>
  <c r="Y9" i="2"/>
  <c r="AC25" i="8"/>
  <c r="AB18" i="2"/>
  <c r="AD18" i="2" s="1"/>
  <c r="AE18" i="2" s="1"/>
  <c r="AV31" i="8"/>
  <c r="BC31" i="8" s="1"/>
  <c r="BD31" i="8" s="1"/>
  <c r="AV14" i="2"/>
  <c r="BC14" i="2" s="1"/>
  <c r="BD14" i="2" s="1"/>
  <c r="S11" i="8"/>
  <c r="Y18" i="2"/>
  <c r="AB28" i="8"/>
  <c r="AV49" i="2"/>
  <c r="BC49" i="2" s="1"/>
  <c r="BD49" i="2" s="1"/>
  <c r="AX17" i="16"/>
  <c r="AY17" i="16" s="1"/>
  <c r="AB22" i="2"/>
  <c r="AC45" i="2"/>
  <c r="AB42" i="8"/>
  <c r="AC39" i="8"/>
  <c r="AV47" i="2"/>
  <c r="BA47" i="2" s="1"/>
  <c r="BB47" i="2" s="1"/>
  <c r="P28" i="16"/>
  <c r="M28" i="16" s="1"/>
  <c r="AV36" i="8"/>
  <c r="BC36" i="8" s="1"/>
  <c r="BD36" i="8" s="1"/>
  <c r="BD17" i="16"/>
  <c r="BE17" i="16" s="1"/>
  <c r="X47" i="8"/>
  <c r="AA47" i="8" s="1"/>
  <c r="AW46" i="16"/>
  <c r="AZ46" i="16" s="1"/>
  <c r="S40" i="8"/>
  <c r="AC31" i="2"/>
  <c r="Y29" i="2"/>
  <c r="Y42" i="2"/>
  <c r="AB22" i="8"/>
  <c r="X37" i="8"/>
  <c r="AA37" i="8" s="1"/>
  <c r="Q40" i="16"/>
  <c r="X6" i="2"/>
  <c r="S33" i="8"/>
  <c r="Y23" i="2"/>
  <c r="X5" i="2"/>
  <c r="AB50" i="2"/>
  <c r="AB42" i="2"/>
  <c r="X11" i="8"/>
  <c r="AA11" i="8" s="1"/>
  <c r="Y47" i="2"/>
  <c r="AW49" i="16"/>
  <c r="BA49" i="16" s="1"/>
  <c r="AV43" i="8"/>
  <c r="BA43" i="8" s="1"/>
  <c r="BB43" i="8" s="1"/>
  <c r="Q32" i="16"/>
  <c r="AV37" i="8"/>
  <c r="AW37" i="8" s="1"/>
  <c r="AX37" i="8" s="1"/>
  <c r="P51" i="16"/>
  <c r="M51" i="16" s="1"/>
  <c r="S24" i="2"/>
  <c r="AB41" i="2"/>
  <c r="AC12" i="2"/>
  <c r="AD12" i="2" s="1"/>
  <c r="AE12" i="2" s="1"/>
  <c r="AC41" i="2"/>
  <c r="X32" i="8"/>
  <c r="AA32" i="8" s="1"/>
  <c r="X33" i="8"/>
  <c r="AA33" i="8" s="1"/>
  <c r="AV26" i="2"/>
  <c r="AZ26" i="2" s="1"/>
  <c r="AV25" i="8"/>
  <c r="BA25" i="8" s="1"/>
  <c r="BB25" i="8" s="1"/>
  <c r="S41" i="2"/>
  <c r="AB5" i="2"/>
  <c r="AC24" i="2"/>
  <c r="Y5" i="2"/>
  <c r="AB45" i="2"/>
  <c r="Y37" i="8"/>
  <c r="BA32" i="16"/>
  <c r="X21" i="8"/>
  <c r="AA21" i="8" s="1"/>
  <c r="X39" i="8"/>
  <c r="AA39" i="8" s="1"/>
  <c r="AV4" i="8"/>
  <c r="BA4" i="8" s="1"/>
  <c r="BB4" i="8" s="1"/>
  <c r="AV29" i="2"/>
  <c r="BA29" i="2" s="1"/>
  <c r="BB29" i="2" s="1"/>
  <c r="AV41" i="2"/>
  <c r="AZ41" i="2" s="1"/>
  <c r="AV45" i="2"/>
  <c r="AZ45" i="2" s="1"/>
  <c r="AW51" i="16"/>
  <c r="AZ51" i="16" s="1"/>
  <c r="AV31" i="2"/>
  <c r="BA31" i="2" s="1"/>
  <c r="BB31" i="2" s="1"/>
  <c r="AW41" i="16"/>
  <c r="BB41" i="16" s="1"/>
  <c r="BC41" i="16" s="1"/>
  <c r="AB43" i="2"/>
  <c r="AD43" i="2" s="1"/>
  <c r="AE43" i="2" s="1"/>
  <c r="S54" i="2"/>
  <c r="S43" i="8"/>
  <c r="S17" i="2"/>
  <c r="S30" i="8"/>
  <c r="Y51" i="2"/>
  <c r="AC15" i="2"/>
  <c r="AC10" i="2"/>
  <c r="X21" i="2"/>
  <c r="AC49" i="2"/>
  <c r="AB15" i="2"/>
  <c r="X16" i="2"/>
  <c r="Z16" i="2" s="1"/>
  <c r="AA16" i="2" s="1"/>
  <c r="Y19" i="8"/>
  <c r="AB47" i="8"/>
  <c r="Y35" i="8"/>
  <c r="Y30" i="8"/>
  <c r="AC4" i="8"/>
  <c r="AV38" i="8"/>
  <c r="AZ38" i="8" s="1"/>
  <c r="AV26" i="8"/>
  <c r="AW26" i="8" s="1"/>
  <c r="AX26" i="8" s="1"/>
  <c r="AV21" i="8"/>
  <c r="AW21" i="8" s="1"/>
  <c r="AX21" i="8" s="1"/>
  <c r="AV8" i="8"/>
  <c r="BC8" i="8" s="1"/>
  <c r="BD8" i="8" s="1"/>
  <c r="AZ17" i="16"/>
  <c r="S50" i="8"/>
  <c r="X30" i="2"/>
  <c r="Y11" i="8"/>
  <c r="AB17" i="2"/>
  <c r="P41" i="16"/>
  <c r="M41" i="16" s="1"/>
  <c r="BD32" i="16"/>
  <c r="BE32" i="16" s="1"/>
  <c r="BB17" i="16"/>
  <c r="BC17" i="16" s="1"/>
  <c r="S46" i="8"/>
  <c r="S19" i="8"/>
  <c r="S16" i="2"/>
  <c r="X9" i="2"/>
  <c r="Y6" i="2"/>
  <c r="AB6" i="2"/>
  <c r="X12" i="2"/>
  <c r="AC17" i="2"/>
  <c r="AB17" i="8"/>
  <c r="AC47" i="8"/>
  <c r="AV54" i="2"/>
  <c r="AZ54" i="2" s="1"/>
  <c r="AV17" i="2"/>
  <c r="BA17" i="2" s="1"/>
  <c r="BB17" i="2" s="1"/>
  <c r="AV13" i="8"/>
  <c r="BC13" i="8" s="1"/>
  <c r="BD13" i="8" s="1"/>
  <c r="S21" i="2"/>
  <c r="P17" i="16"/>
  <c r="M17" i="16" s="1"/>
  <c r="S15" i="2"/>
  <c r="S4" i="8"/>
  <c r="Y30" i="2"/>
  <c r="Y20" i="2"/>
  <c r="AC54" i="2"/>
  <c r="Y54" i="2"/>
  <c r="Z54" i="2" s="1"/>
  <c r="AA54" i="2" s="1"/>
  <c r="Y15" i="8"/>
  <c r="AW36" i="16"/>
  <c r="AX36" i="16" s="1"/>
  <c r="AY36" i="16" s="1"/>
  <c r="Q7" i="16"/>
  <c r="S15" i="8"/>
  <c r="S17" i="8"/>
  <c r="AC21" i="2"/>
  <c r="AB11" i="8"/>
  <c r="S10" i="8"/>
  <c r="Y15" i="2"/>
  <c r="AC9" i="2"/>
  <c r="AB9" i="2"/>
  <c r="AC30" i="2"/>
  <c r="AC30" i="8"/>
  <c r="AV16" i="8"/>
  <c r="AW16" i="8" s="1"/>
  <c r="AX16" i="8" s="1"/>
  <c r="AV21" i="2"/>
  <c r="BA21" i="2" s="1"/>
  <c r="BB21" i="2" s="1"/>
  <c r="AX32" i="16"/>
  <c r="AY32" i="16" s="1"/>
  <c r="Q44" i="16"/>
  <c r="S45" i="8"/>
  <c r="S32" i="8"/>
  <c r="S45" i="2"/>
  <c r="AC29" i="2"/>
  <c r="X44" i="2"/>
  <c r="AC25" i="2"/>
  <c r="AB48" i="2"/>
  <c r="Y48" i="2"/>
  <c r="AB46" i="2"/>
  <c r="X43" i="2"/>
  <c r="AC44" i="2"/>
  <c r="X18" i="2"/>
  <c r="AB41" i="8"/>
  <c r="X16" i="8"/>
  <c r="AA16" i="8" s="1"/>
  <c r="AC27" i="8"/>
  <c r="Y32" i="8"/>
  <c r="X7" i="8"/>
  <c r="AA7" i="8" s="1"/>
  <c r="AC34" i="2"/>
  <c r="Q36" i="16"/>
  <c r="AV35" i="8"/>
  <c r="AZ35" i="8" s="1"/>
  <c r="AA11" i="9"/>
  <c r="AB11" i="9" s="1"/>
  <c r="AW44" i="16"/>
  <c r="AZ44" i="16" s="1"/>
  <c r="S27" i="8"/>
  <c r="S46" i="2"/>
  <c r="Y46" i="2"/>
  <c r="AC24" i="8"/>
  <c r="AB20" i="2"/>
  <c r="AD20" i="2" s="1"/>
  <c r="AE20" i="2" s="1"/>
  <c r="S28" i="8"/>
  <c r="S23" i="8"/>
  <c r="S48" i="2"/>
  <c r="S37" i="2"/>
  <c r="D151" i="3"/>
  <c r="AC7" i="2"/>
  <c r="AC5" i="2"/>
  <c r="AB44" i="2"/>
  <c r="X25" i="2"/>
  <c r="AB37" i="2"/>
  <c r="X46" i="2"/>
  <c r="AB7" i="2"/>
  <c r="X53" i="2"/>
  <c r="AB27" i="8"/>
  <c r="Y27" i="8"/>
  <c r="AC23" i="8"/>
  <c r="Y33" i="8"/>
  <c r="AB12" i="8"/>
  <c r="Y14" i="8"/>
  <c r="AV15" i="8"/>
  <c r="AZ15" i="8" s="1"/>
  <c r="AV43" i="2"/>
  <c r="BA43" i="2" s="1"/>
  <c r="BB43" i="2" s="1"/>
  <c r="AV20" i="2"/>
  <c r="BC20" i="2" s="1"/>
  <c r="BD20" i="2" s="1"/>
  <c r="Q30" i="16"/>
  <c r="AV23" i="2"/>
  <c r="AW23" i="2" s="1"/>
  <c r="AX23" i="2" s="1"/>
  <c r="P25" i="16"/>
  <c r="M25" i="16" s="1"/>
  <c r="AW7" i="16"/>
  <c r="AZ7" i="16" s="1"/>
  <c r="AV7" i="8"/>
  <c r="BA7" i="8" s="1"/>
  <c r="BB7" i="8" s="1"/>
  <c r="AW48" i="16"/>
  <c r="BB48" i="16" s="1"/>
  <c r="BC48" i="16" s="1"/>
  <c r="Y43" i="2"/>
  <c r="AC37" i="2"/>
  <c r="AB7" i="8"/>
  <c r="AB24" i="8"/>
  <c r="X27" i="8"/>
  <c r="AA27" i="8" s="1"/>
  <c r="P48" i="16"/>
  <c r="M48" i="16" s="1"/>
  <c r="P5" i="16"/>
  <c r="M5" i="16" s="1"/>
  <c r="Q26" i="16"/>
  <c r="P40" i="16"/>
  <c r="M40" i="16" s="1"/>
  <c r="S24" i="8"/>
  <c r="S41" i="8"/>
  <c r="D150" i="3"/>
  <c r="X35" i="2"/>
  <c r="Y21" i="2"/>
  <c r="X23" i="2"/>
  <c r="Y7" i="2"/>
  <c r="Y35" i="2"/>
  <c r="AC46" i="8"/>
  <c r="X24" i="8"/>
  <c r="AC36" i="8"/>
  <c r="AC44" i="8"/>
  <c r="Y44" i="8"/>
  <c r="Q43" i="16"/>
  <c r="AZ32" i="16"/>
  <c r="AW24" i="16"/>
  <c r="BB24" i="16" s="1"/>
  <c r="BC24" i="16" s="1"/>
  <c r="AW26" i="16"/>
  <c r="AX26" i="16" s="1"/>
  <c r="AY26" i="16" s="1"/>
  <c r="P32" i="16"/>
  <c r="M32" i="16" s="1"/>
  <c r="AW27" i="16"/>
  <c r="BA27" i="16" s="1"/>
  <c r="X7" i="2"/>
  <c r="Y34" i="2"/>
  <c r="AC19" i="2"/>
  <c r="X48" i="2"/>
  <c r="AB23" i="2"/>
  <c r="AC15" i="8"/>
  <c r="Q27" i="16"/>
  <c r="S12" i="8"/>
  <c r="S44" i="8"/>
  <c r="S44" i="2"/>
  <c r="S8" i="8"/>
  <c r="S34" i="2"/>
  <c r="G150" i="3"/>
  <c r="M150" i="3" s="1"/>
  <c r="X29" i="2"/>
  <c r="X38" i="2"/>
  <c r="X19" i="2"/>
  <c r="AC23" i="2"/>
  <c r="AC35" i="2"/>
  <c r="AC53" i="2"/>
  <c r="Y24" i="8"/>
  <c r="Y8" i="8"/>
  <c r="AC8" i="8"/>
  <c r="X46" i="8"/>
  <c r="AA46" i="8" s="1"/>
  <c r="AB33" i="8"/>
  <c r="AV27" i="8"/>
  <c r="BC27" i="8" s="1"/>
  <c r="BD27" i="8" s="1"/>
  <c r="AV5" i="8"/>
  <c r="AW5" i="8" s="1"/>
  <c r="AX5" i="8" s="1"/>
  <c r="Q24" i="16"/>
  <c r="Y11" i="9"/>
  <c r="AZ46" i="8"/>
  <c r="BA46" i="8"/>
  <c r="BB46" i="8" s="1"/>
  <c r="BC46" i="8"/>
  <c r="BD46" i="8" s="1"/>
  <c r="AW46" i="8"/>
  <c r="AX46" i="8" s="1"/>
  <c r="BD6" i="16"/>
  <c r="BE6" i="16" s="1"/>
  <c r="BA6" i="16"/>
  <c r="BB6" i="16"/>
  <c r="BC6" i="16" s="1"/>
  <c r="AZ6" i="16"/>
  <c r="AX6" i="16"/>
  <c r="AY6" i="16" s="1"/>
  <c r="BD54" i="16"/>
  <c r="BE54" i="16" s="1"/>
  <c r="AZ54" i="16"/>
  <c r="BA54" i="16"/>
  <c r="BB54" i="16"/>
  <c r="BC54" i="16" s="1"/>
  <c r="AX54" i="16"/>
  <c r="AY54" i="16" s="1"/>
  <c r="AB32" i="16"/>
  <c r="AZ20" i="16"/>
  <c r="BD20" i="16"/>
  <c r="BE20" i="16" s="1"/>
  <c r="BA20" i="16"/>
  <c r="BB20" i="16"/>
  <c r="BC20" i="16" s="1"/>
  <c r="AX20" i="16"/>
  <c r="AY20" i="16" s="1"/>
  <c r="BC38" i="2"/>
  <c r="BD38" i="2" s="1"/>
  <c r="AZ38" i="2"/>
  <c r="BA38" i="2"/>
  <c r="BB38" i="2" s="1"/>
  <c r="AW38" i="2"/>
  <c r="AX38" i="2" s="1"/>
  <c r="AW45" i="8"/>
  <c r="AX45" i="8" s="1"/>
  <c r="BA45" i="8"/>
  <c r="BB45" i="8" s="1"/>
  <c r="BC45" i="8"/>
  <c r="BD45" i="8" s="1"/>
  <c r="AZ45" i="8"/>
  <c r="AM41" i="9"/>
  <c r="AN41" i="9" s="1"/>
  <c r="AO41" i="9" s="1"/>
  <c r="Y41" i="9"/>
  <c r="AW45" i="16"/>
  <c r="P45" i="16"/>
  <c r="M45" i="16" s="1"/>
  <c r="AW14" i="16"/>
  <c r="Q14" i="16"/>
  <c r="P14" i="16"/>
  <c r="M14" i="16" s="1"/>
  <c r="AW49" i="8"/>
  <c r="AX49" i="8" s="1"/>
  <c r="BA49" i="8"/>
  <c r="BB49" i="8" s="1"/>
  <c r="AZ49" i="8"/>
  <c r="BC49" i="8"/>
  <c r="BD49" i="8" s="1"/>
  <c r="BA47" i="8"/>
  <c r="BB47" i="8" s="1"/>
  <c r="BC47" i="8"/>
  <c r="BD47" i="8" s="1"/>
  <c r="AZ47" i="8"/>
  <c r="AW47" i="8"/>
  <c r="AX47" i="8" s="1"/>
  <c r="AW17" i="8"/>
  <c r="AX17" i="8" s="1"/>
  <c r="BA17" i="8"/>
  <c r="BB17" i="8" s="1"/>
  <c r="BC17" i="8"/>
  <c r="BD17" i="8" s="1"/>
  <c r="AZ17" i="8"/>
  <c r="AZ6" i="2"/>
  <c r="BA6" i="2"/>
  <c r="BB6" i="2" s="1"/>
  <c r="BC6" i="2"/>
  <c r="BD6" i="2" s="1"/>
  <c r="AW6" i="2"/>
  <c r="AX6" i="2" s="1"/>
  <c r="AB26" i="2"/>
  <c r="AC26" i="2"/>
  <c r="X26" i="2"/>
  <c r="Y26" i="2"/>
  <c r="AW33" i="16"/>
  <c r="P33" i="16"/>
  <c r="M33" i="16" s="1"/>
  <c r="AW24" i="2"/>
  <c r="AX24" i="2" s="1"/>
  <c r="AZ24" i="2"/>
  <c r="BA24" i="2"/>
  <c r="BB24" i="2" s="1"/>
  <c r="BC24" i="2"/>
  <c r="BD24" i="2" s="1"/>
  <c r="AW32" i="8"/>
  <c r="AX32" i="8" s="1"/>
  <c r="BC32" i="8"/>
  <c r="BD32" i="8" s="1"/>
  <c r="AZ32" i="8"/>
  <c r="BA32" i="8"/>
  <c r="BB32" i="8" s="1"/>
  <c r="S39" i="2"/>
  <c r="AV39" i="2"/>
  <c r="AB39" i="2"/>
  <c r="AD39" i="2" s="1"/>
  <c r="AE39" i="2" s="1"/>
  <c r="Y39" i="2"/>
  <c r="Q33" i="16"/>
  <c r="Y52" i="16"/>
  <c r="AA52" i="16" s="1"/>
  <c r="X15" i="8"/>
  <c r="AA15" i="8" s="1"/>
  <c r="S52" i="8"/>
  <c r="Y52" i="8"/>
  <c r="AC52" i="8"/>
  <c r="X52" i="8"/>
  <c r="AV52" i="8"/>
  <c r="AB52" i="8"/>
  <c r="S14" i="2"/>
  <c r="Y14" i="2"/>
  <c r="Z14" i="2" s="1"/>
  <c r="AA14" i="2" s="1"/>
  <c r="AC16" i="2"/>
  <c r="AV16" i="2"/>
  <c r="AB16" i="2"/>
  <c r="X9" i="8"/>
  <c r="AA9" i="8" s="1"/>
  <c r="AB9" i="8"/>
  <c r="AC9" i="8"/>
  <c r="AV9" i="8"/>
  <c r="AZ50" i="8"/>
  <c r="BC50" i="8"/>
  <c r="BD50" i="8" s="1"/>
  <c r="BA50" i="8"/>
  <c r="BB50" i="8" s="1"/>
  <c r="AW50" i="8"/>
  <c r="AX50" i="8" s="1"/>
  <c r="X14" i="8"/>
  <c r="AA14" i="8" s="1"/>
  <c r="S14" i="8"/>
  <c r="AV14" i="8"/>
  <c r="AB14" i="8"/>
  <c r="AD14" i="8" s="1"/>
  <c r="Y48" i="8"/>
  <c r="AC48" i="8"/>
  <c r="X48" i="8"/>
  <c r="AB48" i="8"/>
  <c r="AV48" i="8"/>
  <c r="AB28" i="16"/>
  <c r="Y22" i="16"/>
  <c r="AA22" i="16" s="1"/>
  <c r="AW33" i="2"/>
  <c r="AX33" i="2" s="1"/>
  <c r="AZ33" i="2"/>
  <c r="BA33" i="2"/>
  <c r="BB33" i="2" s="1"/>
  <c r="BC33" i="2"/>
  <c r="BD33" i="2" s="1"/>
  <c r="J149" i="3"/>
  <c r="G149" i="3"/>
  <c r="AZ46" i="2"/>
  <c r="BA46" i="2"/>
  <c r="BB46" i="2" s="1"/>
  <c r="BC46" i="2"/>
  <c r="BD46" i="2" s="1"/>
  <c r="AW46" i="2"/>
  <c r="AX46" i="2" s="1"/>
  <c r="S8" i="2"/>
  <c r="Y8" i="2"/>
  <c r="AC8" i="2"/>
  <c r="AB8" i="2"/>
  <c r="AV8" i="2"/>
  <c r="X8" i="2"/>
  <c r="X32" i="2"/>
  <c r="AC32" i="2"/>
  <c r="AD32" i="2" s="1"/>
  <c r="AE32" i="2" s="1"/>
  <c r="Y32" i="2"/>
  <c r="S32" i="2"/>
  <c r="AW29" i="16"/>
  <c r="Q29" i="16"/>
  <c r="Y11" i="2"/>
  <c r="AC11" i="2"/>
  <c r="AV11" i="2"/>
  <c r="X11" i="2"/>
  <c r="BA39" i="8"/>
  <c r="BB39" i="8" s="1"/>
  <c r="AZ39" i="8"/>
  <c r="BC39" i="8"/>
  <c r="BD39" i="8" s="1"/>
  <c r="AW39" i="8"/>
  <c r="AX39" i="8" s="1"/>
  <c r="Y26" i="16"/>
  <c r="AA26" i="16" s="1"/>
  <c r="X49" i="8"/>
  <c r="AA49" i="8" s="1"/>
  <c r="AC49" i="8"/>
  <c r="Y49" i="8"/>
  <c r="X42" i="2"/>
  <c r="S42" i="2"/>
  <c r="X41" i="2"/>
  <c r="AB36" i="16"/>
  <c r="AM40" i="9"/>
  <c r="AQ40" i="9" s="1"/>
  <c r="Y40" i="9"/>
  <c r="X39" i="2"/>
  <c r="AW52" i="16"/>
  <c r="Q52" i="16"/>
  <c r="AV29" i="8"/>
  <c r="AC38" i="8"/>
  <c r="Y38" i="8"/>
  <c r="S38" i="8"/>
  <c r="AW44" i="8"/>
  <c r="AX44" i="8" s="1"/>
  <c r="BC44" i="8"/>
  <c r="BD44" i="8" s="1"/>
  <c r="AZ44" i="8"/>
  <c r="BA44" i="8"/>
  <c r="BB44" i="8" s="1"/>
  <c r="AB23" i="8"/>
  <c r="AV23" i="8"/>
  <c r="X23" i="8"/>
  <c r="AA23" i="8" s="1"/>
  <c r="X50" i="8"/>
  <c r="Y50" i="8"/>
  <c r="AB50" i="8"/>
  <c r="AB53" i="8"/>
  <c r="Y53" i="8"/>
  <c r="AV53" i="8"/>
  <c r="X53" i="8"/>
  <c r="AA53" i="8" s="1"/>
  <c r="AC53" i="8"/>
  <c r="AV28" i="8"/>
  <c r="AC28" i="8"/>
  <c r="Y28" i="8"/>
  <c r="Z28" i="8" s="1"/>
  <c r="Y11" i="16"/>
  <c r="AA11" i="16" s="1"/>
  <c r="AB11" i="16" s="1"/>
  <c r="Y18" i="16"/>
  <c r="AA18" i="16" s="1"/>
  <c r="AB18" i="16" s="1"/>
  <c r="Y30" i="9"/>
  <c r="AA8" i="9"/>
  <c r="AB8" i="9" s="1"/>
  <c r="AZ30" i="2"/>
  <c r="BC30" i="2"/>
  <c r="BD30" i="2" s="1"/>
  <c r="BA30" i="2"/>
  <c r="BB30" i="2" s="1"/>
  <c r="AW30" i="2"/>
  <c r="AX30" i="2" s="1"/>
  <c r="P22" i="16"/>
  <c r="M22" i="16" s="1"/>
  <c r="AW22" i="16"/>
  <c r="Q22" i="16"/>
  <c r="AZ42" i="8"/>
  <c r="BA42" i="8"/>
  <c r="BB42" i="8" s="1"/>
  <c r="BC42" i="8"/>
  <c r="BD42" i="8" s="1"/>
  <c r="AW42" i="8"/>
  <c r="AX42" i="8" s="1"/>
  <c r="X45" i="8"/>
  <c r="Y45" i="8"/>
  <c r="AB45" i="8"/>
  <c r="AC45" i="8"/>
  <c r="Q45" i="16"/>
  <c r="J148" i="3"/>
  <c r="D148" i="3"/>
  <c r="AZ40" i="16"/>
  <c r="BD40" i="16"/>
  <c r="BE40" i="16" s="1"/>
  <c r="BB40" i="16"/>
  <c r="BC40" i="16" s="1"/>
  <c r="BA40" i="16"/>
  <c r="AX40" i="16"/>
  <c r="AY40" i="16" s="1"/>
  <c r="Y12" i="16"/>
  <c r="AA12" i="16" s="1"/>
  <c r="G148" i="3"/>
  <c r="Y29" i="8"/>
  <c r="AW53" i="2"/>
  <c r="AX53" i="2" s="1"/>
  <c r="BA53" i="2"/>
  <c r="BB53" i="2" s="1"/>
  <c r="AZ53" i="2"/>
  <c r="BC53" i="2"/>
  <c r="BD53" i="2" s="1"/>
  <c r="AW36" i="2"/>
  <c r="AX36" i="2" s="1"/>
  <c r="BC36" i="2"/>
  <c r="BD36" i="2" s="1"/>
  <c r="AZ36" i="2"/>
  <c r="BA36" i="2"/>
  <c r="BB36" i="2" s="1"/>
  <c r="S47" i="2"/>
  <c r="X47" i="2"/>
  <c r="AC47" i="2"/>
  <c r="BC50" i="2"/>
  <c r="BD50" i="2" s="1"/>
  <c r="AZ50" i="2"/>
  <c r="BA50" i="2"/>
  <c r="BB50" i="2" s="1"/>
  <c r="AW50" i="2"/>
  <c r="AX50" i="2" s="1"/>
  <c r="AC34" i="8"/>
  <c r="AB34" i="8"/>
  <c r="AV34" i="8"/>
  <c r="Y34" i="8"/>
  <c r="S34" i="8"/>
  <c r="X34" i="8"/>
  <c r="AA34" i="8" s="1"/>
  <c r="S52" i="2"/>
  <c r="AV52" i="2"/>
  <c r="Y52" i="2"/>
  <c r="X18" i="8"/>
  <c r="AA18" i="8" s="1"/>
  <c r="AV18" i="8"/>
  <c r="AC18" i="8"/>
  <c r="AB18" i="8"/>
  <c r="S18" i="8"/>
  <c r="S51" i="2"/>
  <c r="AV51" i="2"/>
  <c r="AC51" i="2"/>
  <c r="AD51" i="2" s="1"/>
  <c r="AE51" i="2" s="1"/>
  <c r="X51" i="2"/>
  <c r="S49" i="8"/>
  <c r="X52" i="2"/>
  <c r="AB53" i="2"/>
  <c r="Y53" i="2"/>
  <c r="S53" i="2"/>
  <c r="S36" i="2"/>
  <c r="Y36" i="2"/>
  <c r="AB36" i="2"/>
  <c r="X36" i="2"/>
  <c r="AC36" i="2"/>
  <c r="AZ54" i="8"/>
  <c r="BC54" i="8"/>
  <c r="BD54" i="8" s="1"/>
  <c r="BA54" i="8"/>
  <c r="BB54" i="8" s="1"/>
  <c r="AW54" i="8"/>
  <c r="AX54" i="8" s="1"/>
  <c r="S50" i="2"/>
  <c r="Y50" i="2"/>
  <c r="X50" i="2"/>
  <c r="AZ30" i="8"/>
  <c r="BC30" i="8"/>
  <c r="BD30" i="8" s="1"/>
  <c r="BA30" i="8"/>
  <c r="BB30" i="8" s="1"/>
  <c r="AW30" i="8"/>
  <c r="AX30" i="8" s="1"/>
  <c r="BA30" i="16"/>
  <c r="BB30" i="16"/>
  <c r="BC30" i="16" s="1"/>
  <c r="BD30" i="16"/>
  <c r="BE30" i="16" s="1"/>
  <c r="AZ30" i="16"/>
  <c r="AX30" i="16"/>
  <c r="AY30" i="16" s="1"/>
  <c r="S18" i="2"/>
  <c r="AV18" i="2"/>
  <c r="AW31" i="16"/>
  <c r="Q31" i="16"/>
  <c r="P31" i="16"/>
  <c r="M31" i="16" s="1"/>
  <c r="AW48" i="2"/>
  <c r="AX48" i="2" s="1"/>
  <c r="BA48" i="2"/>
  <c r="BB48" i="2" s="1"/>
  <c r="BC48" i="2"/>
  <c r="BD48" i="2" s="1"/>
  <c r="AZ48" i="2"/>
  <c r="AA40" i="9"/>
  <c r="AB40" i="9" s="1"/>
  <c r="P20" i="16"/>
  <c r="M20" i="16" s="1"/>
  <c r="Q20" i="16"/>
  <c r="S29" i="8"/>
  <c r="P6" i="16"/>
  <c r="M6" i="16" s="1"/>
  <c r="Q6" i="16"/>
  <c r="AW40" i="2"/>
  <c r="AX40" i="2" s="1"/>
  <c r="AZ40" i="2"/>
  <c r="BC40" i="2"/>
  <c r="BD40" i="2" s="1"/>
  <c r="BA40" i="2"/>
  <c r="BB40" i="2" s="1"/>
  <c r="Y13" i="16"/>
  <c r="AA13" i="16" s="1"/>
  <c r="AC29" i="8"/>
  <c r="AD29" i="8" s="1"/>
  <c r="AW37" i="2"/>
  <c r="AX37" i="2" s="1"/>
  <c r="BC37" i="2"/>
  <c r="BD37" i="2" s="1"/>
  <c r="AZ37" i="2"/>
  <c r="BA37" i="2"/>
  <c r="BB37" i="2" s="1"/>
  <c r="AC26" i="8"/>
  <c r="AB26" i="8"/>
  <c r="X26" i="8"/>
  <c r="Z26" i="8" s="1"/>
  <c r="S26" i="8"/>
  <c r="S31" i="8"/>
  <c r="X31" i="8"/>
  <c r="AA31" i="8" s="1"/>
  <c r="P54" i="16"/>
  <c r="M54" i="16" s="1"/>
  <c r="Q54" i="16"/>
  <c r="AC6" i="8"/>
  <c r="AB6" i="8"/>
  <c r="Y6" i="8"/>
  <c r="S6" i="8"/>
  <c r="S35" i="8"/>
  <c r="X35" i="8"/>
  <c r="AA35" i="8" s="1"/>
  <c r="AC35" i="8"/>
  <c r="AD35" i="8" s="1"/>
  <c r="AW8" i="16"/>
  <c r="P8" i="16"/>
  <c r="M8" i="16" s="1"/>
  <c r="AZ34" i="2"/>
  <c r="BA34" i="2"/>
  <c r="BB34" i="2" s="1"/>
  <c r="BC34" i="2"/>
  <c r="BD34" i="2" s="1"/>
  <c r="AW34" i="2"/>
  <c r="AX34" i="2" s="1"/>
  <c r="Y8" i="16"/>
  <c r="AA8" i="16" s="1"/>
  <c r="S11" i="2"/>
  <c r="AB11" i="2"/>
  <c r="AB52" i="2"/>
  <c r="AC42" i="2"/>
  <c r="AC52" i="2"/>
  <c r="Y31" i="8"/>
  <c r="S38" i="2"/>
  <c r="Y38" i="2"/>
  <c r="AB38" i="2"/>
  <c r="AC38" i="2"/>
  <c r="AZ10" i="8"/>
  <c r="BC10" i="8"/>
  <c r="BD10" i="8" s="1"/>
  <c r="BA10" i="8"/>
  <c r="BB10" i="8" s="1"/>
  <c r="AW10" i="8"/>
  <c r="AX10" i="8" s="1"/>
  <c r="AC19" i="8"/>
  <c r="AD19" i="8" s="1"/>
  <c r="AV19" i="8"/>
  <c r="X19" i="8"/>
  <c r="AA19" i="8" s="1"/>
  <c r="AB46" i="8"/>
  <c r="Y46" i="8"/>
  <c r="BA19" i="2"/>
  <c r="BB19" i="2" s="1"/>
  <c r="BC19" i="2"/>
  <c r="BD19" i="2" s="1"/>
  <c r="AZ19" i="2"/>
  <c r="AW19" i="2"/>
  <c r="AX19" i="2" s="1"/>
  <c r="X5" i="16"/>
  <c r="AV32" i="2"/>
  <c r="S28" i="2"/>
  <c r="AC28" i="2"/>
  <c r="AV28" i="2"/>
  <c r="AB28" i="2"/>
  <c r="Y28" i="2"/>
  <c r="Z28" i="2" s="1"/>
  <c r="AA28" i="2" s="1"/>
  <c r="Y13" i="2"/>
  <c r="AV13" i="2"/>
  <c r="X13" i="2"/>
  <c r="S13" i="2"/>
  <c r="BA11" i="8"/>
  <c r="BB11" i="8" s="1"/>
  <c r="AZ11" i="8"/>
  <c r="BC11" i="8"/>
  <c r="BD11" i="8" s="1"/>
  <c r="AW11" i="8"/>
  <c r="AX11" i="8" s="1"/>
  <c r="BA51" i="8"/>
  <c r="BB51" i="8" s="1"/>
  <c r="BC51" i="8"/>
  <c r="BD51" i="8" s="1"/>
  <c r="AZ51" i="8"/>
  <c r="AW51" i="8"/>
  <c r="AX51" i="8" s="1"/>
  <c r="Y5" i="16"/>
  <c r="AA5" i="16" s="1"/>
  <c r="BA35" i="2"/>
  <c r="BB35" i="2" s="1"/>
  <c r="AZ35" i="2"/>
  <c r="BC35" i="2"/>
  <c r="BD35" i="2" s="1"/>
  <c r="AW35" i="2"/>
  <c r="AX35" i="2" s="1"/>
  <c r="S25" i="2"/>
  <c r="AB51" i="8"/>
  <c r="X51" i="8"/>
  <c r="AA51" i="8" s="1"/>
  <c r="S10" i="2"/>
  <c r="S13" i="8"/>
  <c r="AB25" i="2"/>
  <c r="Y51" i="8"/>
  <c r="AB5" i="8"/>
  <c r="AW13" i="16"/>
  <c r="P13" i="16"/>
  <c r="M13" i="16" s="1"/>
  <c r="AW9" i="2"/>
  <c r="AX9" i="2" s="1"/>
  <c r="AZ9" i="2"/>
  <c r="BC9" i="2"/>
  <c r="BD9" i="2" s="1"/>
  <c r="BA9" i="2"/>
  <c r="BB9" i="2" s="1"/>
  <c r="AW40" i="8"/>
  <c r="AX40" i="8" s="1"/>
  <c r="AZ40" i="8"/>
  <c r="BA40" i="8"/>
  <c r="BB40" i="8" s="1"/>
  <c r="BC40" i="8"/>
  <c r="BD40" i="8" s="1"/>
  <c r="AZ5" i="16"/>
  <c r="BB5" i="16"/>
  <c r="BC5" i="16" s="1"/>
  <c r="BD5" i="16"/>
  <c r="BE5" i="16" s="1"/>
  <c r="BA5" i="16"/>
  <c r="AX5" i="16"/>
  <c r="AY5" i="16" s="1"/>
  <c r="AB16" i="8"/>
  <c r="AD16" i="8" s="1"/>
  <c r="Y16" i="8"/>
  <c r="AB43" i="8"/>
  <c r="X43" i="8"/>
  <c r="AA43" i="8" s="1"/>
  <c r="AZ22" i="2"/>
  <c r="BC22" i="2"/>
  <c r="BD22" i="2" s="1"/>
  <c r="BA22" i="2"/>
  <c r="BB22" i="2" s="1"/>
  <c r="AW22" i="2"/>
  <c r="AX22" i="2" s="1"/>
  <c r="BA7" i="2"/>
  <c r="BB7" i="2" s="1"/>
  <c r="AZ7" i="2"/>
  <c r="BC7" i="2"/>
  <c r="BD7" i="2" s="1"/>
  <c r="AW7" i="2"/>
  <c r="AX7" i="2" s="1"/>
  <c r="S21" i="8"/>
  <c r="AC21" i="8"/>
  <c r="AB21" i="8"/>
  <c r="AB54" i="2"/>
  <c r="Y42" i="8"/>
  <c r="BA15" i="2"/>
  <c r="BB15" i="2" s="1"/>
  <c r="AZ15" i="2"/>
  <c r="BC15" i="2"/>
  <c r="BD15" i="2" s="1"/>
  <c r="AW15" i="2"/>
  <c r="AX15" i="2" s="1"/>
  <c r="S20" i="2"/>
  <c r="AC17" i="8"/>
  <c r="X17" i="8"/>
  <c r="Y17" i="8"/>
  <c r="AB25" i="8"/>
  <c r="X25" i="8"/>
  <c r="AA25" i="8" s="1"/>
  <c r="AW41" i="8"/>
  <c r="AX41" i="8" s="1"/>
  <c r="AZ41" i="8"/>
  <c r="BA41" i="8"/>
  <c r="BB41" i="8" s="1"/>
  <c r="BC41" i="8"/>
  <c r="BD41" i="8" s="1"/>
  <c r="S49" i="2"/>
  <c r="Y33" i="16"/>
  <c r="AA33" i="16" s="1"/>
  <c r="Y51" i="16"/>
  <c r="AA51" i="16" s="1"/>
  <c r="Y29" i="16"/>
  <c r="AA29" i="16" s="1"/>
  <c r="Y37" i="9"/>
  <c r="Q28" i="16"/>
  <c r="AB39" i="8"/>
  <c r="Y16" i="16"/>
  <c r="AA16" i="16" s="1"/>
  <c r="AA53" i="16"/>
  <c r="AB53" i="16" s="1"/>
  <c r="S51" i="8"/>
  <c r="Y25" i="2"/>
  <c r="Y5" i="8"/>
  <c r="AC51" i="8"/>
  <c r="AX25" i="16"/>
  <c r="AY25" i="16" s="1"/>
  <c r="AZ25" i="16"/>
  <c r="BA25" i="16"/>
  <c r="BB25" i="16"/>
  <c r="BC25" i="16" s="1"/>
  <c r="BD25" i="16"/>
  <c r="BE25" i="16" s="1"/>
  <c r="S12" i="2"/>
  <c r="S9" i="2"/>
  <c r="AB40" i="8"/>
  <c r="AC40" i="8"/>
  <c r="Y40" i="8"/>
  <c r="X40" i="8"/>
  <c r="S43" i="2"/>
  <c r="S22" i="2"/>
  <c r="Y4" i="8"/>
  <c r="Z4" i="8" s="1"/>
  <c r="AB4" i="8"/>
  <c r="S7" i="2"/>
  <c r="S36" i="8"/>
  <c r="Y36" i="8"/>
  <c r="AB36" i="8"/>
  <c r="X15" i="2"/>
  <c r="Y41" i="8"/>
  <c r="AC41" i="8"/>
  <c r="X41" i="8"/>
  <c r="Y17" i="2"/>
  <c r="Z17" i="2" s="1"/>
  <c r="AA17" i="2" s="1"/>
  <c r="AW43" i="16"/>
  <c r="S27" i="2"/>
  <c r="AB21" i="2"/>
  <c r="AC7" i="8"/>
  <c r="Y7" i="8"/>
  <c r="AA9" i="16"/>
  <c r="Y6" i="16"/>
  <c r="AA6" i="16" s="1"/>
  <c r="Y47" i="16"/>
  <c r="AA47" i="16" s="1"/>
  <c r="AA38" i="16"/>
  <c r="X33" i="2"/>
  <c r="AA30" i="16"/>
  <c r="Y31" i="16"/>
  <c r="AA31" i="16" s="1"/>
  <c r="Y23" i="16"/>
  <c r="AA23" i="16" s="1"/>
  <c r="AA42" i="16"/>
  <c r="AB42" i="16" s="1"/>
  <c r="AA24" i="16"/>
  <c r="AC13" i="8"/>
  <c r="AD13" i="8" s="1"/>
  <c r="Y13" i="8"/>
  <c r="AB31" i="2"/>
  <c r="AB10" i="2"/>
  <c r="X31" i="2"/>
  <c r="AV33" i="8"/>
  <c r="AC46" i="2"/>
  <c r="X44" i="8"/>
  <c r="AA44" i="8" s="1"/>
  <c r="AB44" i="8"/>
  <c r="S29" i="2"/>
  <c r="Y24" i="2"/>
  <c r="X45" i="2"/>
  <c r="X22" i="8"/>
  <c r="AA22" i="8" s="1"/>
  <c r="X34" i="2"/>
  <c r="AB37" i="8"/>
  <c r="AC37" i="8"/>
  <c r="S23" i="2"/>
  <c r="AC11" i="8"/>
  <c r="AA27" i="16"/>
  <c r="Y40" i="16"/>
  <c r="AA40" i="16" s="1"/>
  <c r="Y21" i="16"/>
  <c r="AA21" i="16" s="1"/>
  <c r="Y19" i="16"/>
  <c r="AA19" i="16" s="1"/>
  <c r="AB19" i="16" s="1"/>
  <c r="AA15" i="16"/>
  <c r="AV24" i="8"/>
  <c r="S31" i="2"/>
  <c r="Y39" i="16"/>
  <c r="AA39" i="16" s="1"/>
  <c r="AA50" i="16"/>
  <c r="AB50" i="16" s="1"/>
  <c r="S5" i="8"/>
  <c r="X10" i="2"/>
  <c r="X13" i="8"/>
  <c r="AA13" i="8" s="1"/>
  <c r="X5" i="8"/>
  <c r="AA5" i="8" s="1"/>
  <c r="Y37" i="2"/>
  <c r="S30" i="2"/>
  <c r="Y10" i="8"/>
  <c r="AC10" i="8"/>
  <c r="AB10" i="8"/>
  <c r="X10" i="8"/>
  <c r="AC54" i="8"/>
  <c r="Y54" i="8"/>
  <c r="AB54" i="8"/>
  <c r="S47" i="8"/>
  <c r="Y47" i="8"/>
  <c r="S19" i="2"/>
  <c r="X30" i="8"/>
  <c r="AA30" i="8" s="1"/>
  <c r="Y44" i="2"/>
  <c r="Y12" i="8"/>
  <c r="AC12" i="8"/>
  <c r="X12" i="8"/>
  <c r="AB32" i="8"/>
  <c r="AC32" i="8"/>
  <c r="S6" i="2"/>
  <c r="S5" i="2"/>
  <c r="AC48" i="2"/>
  <c r="BD28" i="16"/>
  <c r="BE28" i="16" s="1"/>
  <c r="BA28" i="16"/>
  <c r="BB28" i="16"/>
  <c r="BC28" i="16" s="1"/>
  <c r="AZ28" i="16"/>
  <c r="AX28" i="16"/>
  <c r="AY28" i="16" s="1"/>
  <c r="Q25" i="16"/>
  <c r="AA20" i="16"/>
  <c r="Y46" i="16"/>
  <c r="AA46" i="16" s="1"/>
  <c r="AA41" i="16"/>
  <c r="Y17" i="16"/>
  <c r="AA17" i="16" s="1"/>
  <c r="S35" i="2"/>
  <c r="D41" i="3"/>
  <c r="G41" i="3"/>
  <c r="J41" i="3"/>
  <c r="G42" i="3"/>
  <c r="D42" i="3"/>
  <c r="J42" i="3"/>
  <c r="G39" i="3"/>
  <c r="D39" i="3"/>
  <c r="J39" i="3"/>
  <c r="D40" i="3"/>
  <c r="J40" i="3"/>
  <c r="G40" i="3"/>
  <c r="AA4" i="8"/>
  <c r="S40" i="2"/>
  <c r="AB40" i="2"/>
  <c r="X40" i="2"/>
  <c r="AC40" i="2"/>
  <c r="Y40" i="2"/>
  <c r="E112" i="3"/>
  <c r="J111" i="3"/>
  <c r="J112" i="3"/>
  <c r="G112" i="3"/>
  <c r="J113" i="3"/>
  <c r="D111" i="3"/>
  <c r="G111" i="3"/>
  <c r="D113" i="3"/>
  <c r="E113" i="3"/>
  <c r="G113" i="3"/>
  <c r="S4" i="16"/>
  <c r="AM5" i="9"/>
  <c r="AR5" i="9" s="1"/>
  <c r="AS5" i="9" s="1"/>
  <c r="AM30" i="9"/>
  <c r="AR30" i="9" s="1"/>
  <c r="AS30" i="9" s="1"/>
  <c r="S29" i="9"/>
  <c r="CA29" i="9" s="1"/>
  <c r="T29" i="9"/>
  <c r="T40" i="9"/>
  <c r="S40" i="9"/>
  <c r="CA40" i="9" s="1"/>
  <c r="S11" i="9"/>
  <c r="CA11" i="9" s="1"/>
  <c r="T11" i="9"/>
  <c r="T14" i="9"/>
  <c r="S34" i="9"/>
  <c r="CA34" i="9" s="1"/>
  <c r="S37" i="9"/>
  <c r="CA37" i="9" s="1"/>
  <c r="S22" i="9"/>
  <c r="CA22" i="9" s="1"/>
  <c r="S10" i="9"/>
  <c r="CA10" i="9" s="1"/>
  <c r="S12" i="9"/>
  <c r="CA12" i="9" s="1"/>
  <c r="T9" i="9"/>
  <c r="S30" i="9"/>
  <c r="CA30" i="9" s="1"/>
  <c r="T30" i="9"/>
  <c r="T22" i="9" l="1"/>
  <c r="AM33" i="9"/>
  <c r="AN33" i="9" s="1"/>
  <c r="AO33" i="9" s="1"/>
  <c r="AA10" i="9"/>
  <c r="AB10" i="9" s="1"/>
  <c r="Y29" i="9"/>
  <c r="Y22" i="9"/>
  <c r="AM10" i="9"/>
  <c r="AR10" i="9" s="1"/>
  <c r="S5" i="9"/>
  <c r="CA5" i="9" s="1"/>
  <c r="CC5" i="9" s="1"/>
  <c r="S8" i="9"/>
  <c r="CA8" i="9" s="1"/>
  <c r="CC8" i="9" s="1"/>
  <c r="T33" i="9"/>
  <c r="T8" i="9"/>
  <c r="AA22" i="9"/>
  <c r="AB22" i="9" s="1"/>
  <c r="S33" i="9"/>
  <c r="CA33" i="9" s="1"/>
  <c r="CC33" i="9" s="1"/>
  <c r="Y10" i="9"/>
  <c r="AK36" i="9"/>
  <c r="AL36" i="9" s="1"/>
  <c r="Y5" i="9"/>
  <c r="Z5" i="9" s="1"/>
  <c r="T10" i="9"/>
  <c r="W10" i="9" s="1"/>
  <c r="X10" i="9" s="1"/>
  <c r="T5" i="9"/>
  <c r="AM22" i="9"/>
  <c r="AR22" i="9" s="1"/>
  <c r="AS22" i="9" s="1"/>
  <c r="AM45" i="9"/>
  <c r="AR45" i="9" s="1"/>
  <c r="AS45" i="9" s="1"/>
  <c r="AA6" i="9"/>
  <c r="AB6" i="9" s="1"/>
  <c r="AK5" i="9"/>
  <c r="AL5" i="9" s="1"/>
  <c r="Y33" i="9"/>
  <c r="AA33" i="9"/>
  <c r="AB33" i="9" s="1"/>
  <c r="AA29" i="9"/>
  <c r="AB29" i="9" s="1"/>
  <c r="S4" i="9"/>
  <c r="CA4" i="9" s="1"/>
  <c r="CC4" i="9" s="1"/>
  <c r="Y9" i="9"/>
  <c r="Y8" i="9"/>
  <c r="Z8" i="9" s="1"/>
  <c r="G19" i="9"/>
  <c r="H19" i="9" s="1"/>
  <c r="T18" i="9"/>
  <c r="AM29" i="9"/>
  <c r="AR29" i="9" s="1"/>
  <c r="AS29" i="9" s="1"/>
  <c r="AK34" i="9"/>
  <c r="AL34" i="9" s="1"/>
  <c r="S14" i="9"/>
  <c r="CA14" i="9" s="1"/>
  <c r="CC14" i="9" s="1"/>
  <c r="AA4" i="9"/>
  <c r="AB4" i="9" s="1"/>
  <c r="AM18" i="9"/>
  <c r="AR18" i="9" s="1"/>
  <c r="AS18" i="9" s="1"/>
  <c r="Y51" i="9"/>
  <c r="Z51" i="9" s="1"/>
  <c r="AM51" i="9"/>
  <c r="AQ51" i="9" s="1"/>
  <c r="T47" i="9"/>
  <c r="B111" i="9"/>
  <c r="B117" i="9" s="1"/>
  <c r="D117" i="9" s="1"/>
  <c r="AM43" i="9"/>
  <c r="AR43" i="9" s="1"/>
  <c r="AS43" i="9" s="1"/>
  <c r="Y18" i="9"/>
  <c r="Z18" i="9" s="1"/>
  <c r="AK51" i="9"/>
  <c r="AL51" i="9" s="1"/>
  <c r="S23" i="9"/>
  <c r="CA23" i="9" s="1"/>
  <c r="S47" i="9"/>
  <c r="CA47" i="9" s="1"/>
  <c r="R8" i="16"/>
  <c r="AM50" i="9"/>
  <c r="AR50" i="9" s="1"/>
  <c r="AS50" i="9" s="1"/>
  <c r="B110" i="9"/>
  <c r="B116" i="9" s="1"/>
  <c r="D116" i="9" s="1"/>
  <c r="Y14" i="9"/>
  <c r="Z14" i="9" s="1"/>
  <c r="T17" i="9"/>
  <c r="S9" i="9"/>
  <c r="CA9" i="9" s="1"/>
  <c r="CC9" i="9" s="1"/>
  <c r="T32" i="9"/>
  <c r="Y13" i="9"/>
  <c r="Z13" i="9" s="1"/>
  <c r="B41" i="9"/>
  <c r="B136" i="23" s="1"/>
  <c r="Y4" i="9"/>
  <c r="Z4" i="9" s="1"/>
  <c r="S17" i="9"/>
  <c r="CA17" i="9" s="1"/>
  <c r="CC17" i="9" s="1"/>
  <c r="S41" i="9"/>
  <c r="CA41" i="9" s="1"/>
  <c r="CC41" i="9" s="1"/>
  <c r="T44" i="9"/>
  <c r="S35" i="9"/>
  <c r="CA35" i="9" s="1"/>
  <c r="CC35" i="9" s="1"/>
  <c r="S32" i="9"/>
  <c r="CA32" i="9" s="1"/>
  <c r="AM35" i="9"/>
  <c r="AT35" i="9" s="1"/>
  <c r="AU35" i="9" s="1"/>
  <c r="AA37" i="9"/>
  <c r="AB37" i="9" s="1"/>
  <c r="Y32" i="9"/>
  <c r="Z32" i="9" s="1"/>
  <c r="R13" i="16"/>
  <c r="AM12" i="9"/>
  <c r="AR12" i="9" s="1"/>
  <c r="AS12" i="9" s="1"/>
  <c r="Y50" i="9"/>
  <c r="AM15" i="9"/>
  <c r="AR15" i="9" s="1"/>
  <c r="AS15" i="9" s="1"/>
  <c r="AA41" i="9"/>
  <c r="AB41" i="9" s="1"/>
  <c r="AA14" i="9"/>
  <c r="AB14" i="9" s="1"/>
  <c r="AM23" i="9"/>
  <c r="AR23" i="9" s="1"/>
  <c r="AS23" i="9" s="1"/>
  <c r="AK14" i="9"/>
  <c r="AL14" i="9" s="1"/>
  <c r="AA32" i="9"/>
  <c r="AB32" i="9" s="1"/>
  <c r="S13" i="9"/>
  <c r="CA13" i="9" s="1"/>
  <c r="CC13" i="9" s="1"/>
  <c r="Y17" i="9"/>
  <c r="Z17" i="9" s="1"/>
  <c r="Y35" i="9"/>
  <c r="AK4" i="9"/>
  <c r="AL4" i="9" s="1"/>
  <c r="Y39" i="9"/>
  <c r="Z39" i="9" s="1"/>
  <c r="T50" i="9"/>
  <c r="B125" i="9"/>
  <c r="T37" i="9"/>
  <c r="U37" i="9" s="1"/>
  <c r="CS37" i="9" s="1"/>
  <c r="S39" i="9"/>
  <c r="CA39" i="9" s="1"/>
  <c r="CC39" i="9" s="1"/>
  <c r="AM32" i="9"/>
  <c r="AT32" i="9" s="1"/>
  <c r="AU32" i="9" s="1"/>
  <c r="AM34" i="9"/>
  <c r="AR34" i="9" s="1"/>
  <c r="AS34" i="9" s="1"/>
  <c r="AA39" i="9"/>
  <c r="AB39" i="9" s="1"/>
  <c r="X37" i="16"/>
  <c r="AA13" i="9"/>
  <c r="AB13" i="9" s="1"/>
  <c r="Y23" i="9"/>
  <c r="Z23" i="9" s="1"/>
  <c r="B43" i="9"/>
  <c r="B139" i="23" s="1"/>
  <c r="Y15" i="9"/>
  <c r="Z15" i="9" s="1"/>
  <c r="AM4" i="9"/>
  <c r="AT4" i="9" s="1"/>
  <c r="AU4" i="9" s="1"/>
  <c r="AM20" i="9"/>
  <c r="AT20" i="9" s="1"/>
  <c r="AU20" i="9" s="1"/>
  <c r="AM39" i="9"/>
  <c r="AQ39" i="9" s="1"/>
  <c r="AA35" i="9"/>
  <c r="AB35" i="9" s="1"/>
  <c r="S50" i="9"/>
  <c r="CA50" i="9" s="1"/>
  <c r="CC50" i="9" s="1"/>
  <c r="T39" i="9"/>
  <c r="S19" i="9"/>
  <c r="CA19" i="9" s="1"/>
  <c r="CC19" i="9" s="1"/>
  <c r="S15" i="9"/>
  <c r="CA15" i="9" s="1"/>
  <c r="CC15" i="9" s="1"/>
  <c r="AA49" i="9"/>
  <c r="AB49" i="9" s="1"/>
  <c r="Y12" i="9"/>
  <c r="Z12" i="9" s="1"/>
  <c r="AA20" i="9"/>
  <c r="AB20" i="9" s="1"/>
  <c r="AA23" i="9"/>
  <c r="AB23" i="9" s="1"/>
  <c r="B8" i="9"/>
  <c r="AA9" i="9"/>
  <c r="AB9" i="9" s="1"/>
  <c r="AM13" i="9"/>
  <c r="AR13" i="9" s="1"/>
  <c r="AS13" i="9" s="1"/>
  <c r="AA17" i="9"/>
  <c r="AB17" i="9" s="1"/>
  <c r="AM9" i="9"/>
  <c r="AR9" i="9" s="1"/>
  <c r="AS9" i="9" s="1"/>
  <c r="AM17" i="9"/>
  <c r="AR17" i="9" s="1"/>
  <c r="AS17" i="9" s="1"/>
  <c r="AM8" i="9"/>
  <c r="AT8" i="9" s="1"/>
  <c r="AU8" i="9" s="1"/>
  <c r="Y46" i="9"/>
  <c r="Z46" i="9" s="1"/>
  <c r="T13" i="9"/>
  <c r="T23" i="9"/>
  <c r="U23" i="9" s="1"/>
  <c r="CS23" i="9" s="1"/>
  <c r="T12" i="9"/>
  <c r="W12" i="9" s="1"/>
  <c r="X12" i="9" s="1"/>
  <c r="T41" i="9"/>
  <c r="T34" i="9"/>
  <c r="W34" i="9" s="1"/>
  <c r="X34" i="9" s="1"/>
  <c r="T35" i="9"/>
  <c r="T15" i="9"/>
  <c r="S46" i="9"/>
  <c r="CA46" i="9" s="1"/>
  <c r="CC46" i="9" s="1"/>
  <c r="Y44" i="9"/>
  <c r="Z44" i="9" s="1"/>
  <c r="AA12" i="9"/>
  <c r="AB12" i="9" s="1"/>
  <c r="AA50" i="9"/>
  <c r="AB50" i="9" s="1"/>
  <c r="B115" i="9"/>
  <c r="D115" i="9" s="1"/>
  <c r="AM52" i="9"/>
  <c r="AR52" i="9" s="1"/>
  <c r="AS52" i="9" s="1"/>
  <c r="AK47" i="9"/>
  <c r="AL47" i="9" s="1"/>
  <c r="S52" i="9"/>
  <c r="CA52" i="9" s="1"/>
  <c r="CC52" i="9" s="1"/>
  <c r="T43" i="9"/>
  <c r="Y43" i="9"/>
  <c r="Z43" i="9" s="1"/>
  <c r="T53" i="9"/>
  <c r="S51" i="9"/>
  <c r="CA51" i="9" s="1"/>
  <c r="CC51" i="9" s="1"/>
  <c r="T54" i="9"/>
  <c r="AA26" i="9"/>
  <c r="AB26" i="9" s="1"/>
  <c r="AA43" i="9"/>
  <c r="AB43" i="9" s="1"/>
  <c r="Y19" i="9"/>
  <c r="Z19" i="9" s="1"/>
  <c r="AM48" i="9"/>
  <c r="AR48" i="9" s="1"/>
  <c r="AS48" i="9" s="1"/>
  <c r="AA36" i="9"/>
  <c r="AB36" i="9" s="1"/>
  <c r="AA52" i="9"/>
  <c r="AB52" i="9" s="1"/>
  <c r="AA51" i="9"/>
  <c r="AB51" i="9" s="1"/>
  <c r="AK44" i="9"/>
  <c r="AL44" i="9" s="1"/>
  <c r="B114" i="9"/>
  <c r="D114" i="9" s="1"/>
  <c r="Y16" i="9"/>
  <c r="Z16" i="9" s="1"/>
  <c r="S38" i="9"/>
  <c r="CA38" i="9" s="1"/>
  <c r="CC38" i="9" s="1"/>
  <c r="Y36" i="9"/>
  <c r="Z36" i="9" s="1"/>
  <c r="S53" i="9"/>
  <c r="CA53" i="9" s="1"/>
  <c r="CC53" i="9" s="1"/>
  <c r="G18" i="9"/>
  <c r="H18" i="9" s="1"/>
  <c r="B25" i="23" s="1"/>
  <c r="S26" i="9"/>
  <c r="CA26" i="9" s="1"/>
  <c r="CC26" i="9" s="1"/>
  <c r="S44" i="9"/>
  <c r="CA44" i="9" s="1"/>
  <c r="CC44" i="9" s="1"/>
  <c r="S43" i="9"/>
  <c r="CA43" i="9" s="1"/>
  <c r="CC43" i="9" s="1"/>
  <c r="T46" i="9"/>
  <c r="W46" i="9" s="1"/>
  <c r="X46" i="9" s="1"/>
  <c r="AM36" i="9"/>
  <c r="AR36" i="9" s="1"/>
  <c r="AS36" i="9" s="1"/>
  <c r="R38" i="16"/>
  <c r="AK46" i="9"/>
  <c r="AL46" i="9" s="1"/>
  <c r="AM54" i="9"/>
  <c r="AT54" i="9" s="1"/>
  <c r="AU54" i="9" s="1"/>
  <c r="T16" i="9"/>
  <c r="R51" i="16"/>
  <c r="Y48" i="9"/>
  <c r="Z48" i="9" s="1"/>
  <c r="S24" i="9"/>
  <c r="CA24" i="9" s="1"/>
  <c r="CC24" i="9" s="1"/>
  <c r="T7" i="9"/>
  <c r="S36" i="9"/>
  <c r="CA36" i="9" s="1"/>
  <c r="CC36" i="9" s="1"/>
  <c r="S20" i="9"/>
  <c r="CA20" i="9" s="1"/>
  <c r="CC20" i="9" s="1"/>
  <c r="Y28" i="9"/>
  <c r="Z28" i="9" s="1"/>
  <c r="R49" i="16"/>
  <c r="AM49" i="9"/>
  <c r="AR49" i="9" s="1"/>
  <c r="AS49" i="9" s="1"/>
  <c r="AM42" i="9"/>
  <c r="AR42" i="9" s="1"/>
  <c r="AS42" i="9" s="1"/>
  <c r="AA27" i="9"/>
  <c r="AB27" i="9" s="1"/>
  <c r="AK21" i="9"/>
  <c r="AL21" i="9" s="1"/>
  <c r="AA21" i="9"/>
  <c r="AB21" i="9" s="1"/>
  <c r="AK31" i="9"/>
  <c r="AL31" i="9" s="1"/>
  <c r="T42" i="9"/>
  <c r="AA31" i="9"/>
  <c r="AB31" i="9" s="1"/>
  <c r="Y7" i="9"/>
  <c r="Z7" i="9" s="1"/>
  <c r="AA25" i="9"/>
  <c r="AB25" i="9" s="1"/>
  <c r="AM31" i="9"/>
  <c r="AT31" i="9" s="1"/>
  <c r="AU31" i="9" s="1"/>
  <c r="AK25" i="9"/>
  <c r="AL25" i="9" s="1"/>
  <c r="AK27" i="9"/>
  <c r="AL27" i="9" s="1"/>
  <c r="B120" i="9"/>
  <c r="B183" i="23" s="1"/>
  <c r="T25" i="9"/>
  <c r="S25" i="9"/>
  <c r="CA25" i="9" s="1"/>
  <c r="CC25" i="9" s="1"/>
  <c r="T49" i="9"/>
  <c r="S48" i="9"/>
  <c r="S7" i="9"/>
  <c r="CA7" i="9" s="1"/>
  <c r="CC7" i="9" s="1"/>
  <c r="T20" i="9"/>
  <c r="T24" i="9"/>
  <c r="T28" i="9"/>
  <c r="S42" i="9"/>
  <c r="CA42" i="9" s="1"/>
  <c r="CC42" i="9" s="1"/>
  <c r="Y21" i="9"/>
  <c r="Z21" i="9" s="1"/>
  <c r="AM24" i="9"/>
  <c r="AA19" i="9"/>
  <c r="AB19" i="9" s="1"/>
  <c r="AA7" i="9"/>
  <c r="AB7" i="9" s="1"/>
  <c r="AM6" i="9"/>
  <c r="AR6" i="9" s="1"/>
  <c r="AS6" i="9" s="1"/>
  <c r="AM16" i="9"/>
  <c r="AN16" i="9" s="1"/>
  <c r="AO16" i="9" s="1"/>
  <c r="AK53" i="9"/>
  <c r="AL53" i="9" s="1"/>
  <c r="AK49" i="9"/>
  <c r="AL49" i="9" s="1"/>
  <c r="AM25" i="9"/>
  <c r="AQ25" i="9" s="1"/>
  <c r="AM27" i="9"/>
  <c r="B124" i="9"/>
  <c r="T21" i="9"/>
  <c r="W21" i="9" s="1"/>
  <c r="X21" i="9" s="1"/>
  <c r="AA38" i="9"/>
  <c r="AB38" i="9" s="1"/>
  <c r="S54" i="9"/>
  <c r="CA54" i="9" s="1"/>
  <c r="CC54" i="9" s="1"/>
  <c r="AM21" i="9"/>
  <c r="AR21" i="9" s="1"/>
  <c r="AS21" i="9" s="1"/>
  <c r="S31" i="9"/>
  <c r="CA31" i="9" s="1"/>
  <c r="CC31" i="9" s="1"/>
  <c r="Y6" i="9"/>
  <c r="Z6" i="9" s="1"/>
  <c r="Y42" i="9"/>
  <c r="Z42" i="9" s="1"/>
  <c r="T48" i="9"/>
  <c r="R46" i="16"/>
  <c r="Y53" i="9"/>
  <c r="S6" i="9"/>
  <c r="CA6" i="9" s="1"/>
  <c r="CC6" i="9" s="1"/>
  <c r="T45" i="9"/>
  <c r="S45" i="9"/>
  <c r="CA45" i="9" s="1"/>
  <c r="CC45" i="9" s="1"/>
  <c r="S27" i="9"/>
  <c r="CA27" i="9" s="1"/>
  <c r="CC27" i="9" s="1"/>
  <c r="T31" i="9"/>
  <c r="S18" i="9"/>
  <c r="W18" i="9" s="1"/>
  <c r="X18" i="9" s="1"/>
  <c r="AM7" i="9"/>
  <c r="AR7" i="9" s="1"/>
  <c r="AS7" i="9" s="1"/>
  <c r="AM28" i="9"/>
  <c r="AR28" i="9" s="1"/>
  <c r="AS28" i="9" s="1"/>
  <c r="AA47" i="9"/>
  <c r="AB47" i="9" s="1"/>
  <c r="AA53" i="9"/>
  <c r="AB53" i="9" s="1"/>
  <c r="AA44" i="9"/>
  <c r="AB44" i="9" s="1"/>
  <c r="AA48" i="9"/>
  <c r="AB48" i="9" s="1"/>
  <c r="Y54" i="9"/>
  <c r="Z54" i="9" s="1"/>
  <c r="AA28" i="9"/>
  <c r="AB28" i="9" s="1"/>
  <c r="AM19" i="9"/>
  <c r="AT19" i="9" s="1"/>
  <c r="AU19" i="9" s="1"/>
  <c r="AA45" i="9"/>
  <c r="AB45" i="9" s="1"/>
  <c r="Y49" i="9"/>
  <c r="Z49" i="9" s="1"/>
  <c r="Y26" i="9"/>
  <c r="Z26" i="9" s="1"/>
  <c r="R48" i="16"/>
  <c r="AM47" i="9"/>
  <c r="AR47" i="9" s="1"/>
  <c r="AS47" i="9" s="1"/>
  <c r="AM46" i="9"/>
  <c r="G17" i="9"/>
  <c r="H17" i="9" s="1"/>
  <c r="S16" i="9"/>
  <c r="CA16" i="9" s="1"/>
  <c r="CC16" i="9" s="1"/>
  <c r="AA24" i="9"/>
  <c r="AB24" i="9" s="1"/>
  <c r="AM38" i="9"/>
  <c r="AR38" i="9" s="1"/>
  <c r="AS38" i="9" s="1"/>
  <c r="T38" i="9"/>
  <c r="T6" i="9"/>
  <c r="Y24" i="9"/>
  <c r="Z24" i="9" s="1"/>
  <c r="AA16" i="9"/>
  <c r="AB16" i="9" s="1"/>
  <c r="Y38" i="9"/>
  <c r="Z38" i="9" s="1"/>
  <c r="B113" i="9"/>
  <c r="D113" i="9" s="1"/>
  <c r="T27" i="9"/>
  <c r="T52" i="9"/>
  <c r="T19" i="9"/>
  <c r="S28" i="9"/>
  <c r="CA28" i="9" s="1"/>
  <c r="CC28" i="9" s="1"/>
  <c r="AM26" i="9"/>
  <c r="AR26" i="9" s="1"/>
  <c r="AS26" i="9" s="1"/>
  <c r="AA42" i="9"/>
  <c r="AB42" i="9" s="1"/>
  <c r="AA54" i="9"/>
  <c r="AB54" i="9" s="1"/>
  <c r="AA18" i="9"/>
  <c r="AB18" i="9" s="1"/>
  <c r="Y20" i="9"/>
  <c r="Y45" i="9"/>
  <c r="Z45" i="9" s="1"/>
  <c r="Y52" i="9"/>
  <c r="Z52" i="9" s="1"/>
  <c r="T26" i="9"/>
  <c r="CG10" i="2"/>
  <c r="CK10" i="2" s="1"/>
  <c r="CS10" i="2" s="1"/>
  <c r="CT10" i="2" s="1"/>
  <c r="CU10" i="2" s="1"/>
  <c r="CG23" i="2"/>
  <c r="CK23" i="2" s="1"/>
  <c r="CS23" i="2" s="1"/>
  <c r="CT23" i="2" s="1"/>
  <c r="CU23" i="2" s="1"/>
  <c r="T10" i="2"/>
  <c r="CK4" i="2"/>
  <c r="CS4" i="2" s="1"/>
  <c r="CT4" i="2" s="1"/>
  <c r="CU4" i="2" s="1"/>
  <c r="CG27" i="2"/>
  <c r="CG54" i="8"/>
  <c r="CH54" i="8"/>
  <c r="CK54" i="8" s="1"/>
  <c r="CS54" i="8" s="1"/>
  <c r="CT54" i="8" s="1"/>
  <c r="CU54" i="8" s="1"/>
  <c r="CG47" i="2"/>
  <c r="CH47" i="2"/>
  <c r="CG24" i="2"/>
  <c r="CH24" i="2"/>
  <c r="CG17" i="2"/>
  <c r="CH17" i="2"/>
  <c r="CG46" i="2"/>
  <c r="CH46" i="2"/>
  <c r="CK46" i="2" s="1"/>
  <c r="CS46" i="2" s="1"/>
  <c r="CT46" i="2" s="1"/>
  <c r="CU46" i="2" s="1"/>
  <c r="CG54" i="2"/>
  <c r="CH54" i="2"/>
  <c r="CG6" i="2"/>
  <c r="CH6" i="2"/>
  <c r="CG4" i="8"/>
  <c r="CH4" i="8"/>
  <c r="CG52" i="2"/>
  <c r="CH52" i="2"/>
  <c r="CG44" i="2"/>
  <c r="CH44" i="2"/>
  <c r="CG42" i="2"/>
  <c r="CH42" i="2"/>
  <c r="CG35" i="2"/>
  <c r="CH35" i="2"/>
  <c r="CG39" i="2"/>
  <c r="CH39" i="2"/>
  <c r="CK39" i="2" s="1"/>
  <c r="CS39" i="2" s="1"/>
  <c r="CT39" i="2" s="1"/>
  <c r="CU39" i="2" s="1"/>
  <c r="CG9" i="2"/>
  <c r="CH9" i="2"/>
  <c r="CG33" i="2"/>
  <c r="CH33" i="2"/>
  <c r="CG22" i="2"/>
  <c r="CH22" i="2"/>
  <c r="CG13" i="2"/>
  <c r="CH13" i="2"/>
  <c r="CK13" i="2" s="1"/>
  <c r="CS13" i="2" s="1"/>
  <c r="CT13" i="2" s="1"/>
  <c r="CU13" i="2" s="1"/>
  <c r="CG7" i="2"/>
  <c r="CH7" i="2"/>
  <c r="CG16" i="2"/>
  <c r="CH16" i="2"/>
  <c r="CG32" i="2"/>
  <c r="CH32" i="2"/>
  <c r="CG28" i="2"/>
  <c r="CH28" i="2"/>
  <c r="CK28" i="2" s="1"/>
  <c r="CS28" i="2" s="1"/>
  <c r="CT28" i="2" s="1"/>
  <c r="CU28" i="2" s="1"/>
  <c r="CG37" i="2"/>
  <c r="CH37" i="2"/>
  <c r="CG40" i="2"/>
  <c r="CH40" i="2"/>
  <c r="CG20" i="2"/>
  <c r="CH20" i="2"/>
  <c r="CG53" i="2"/>
  <c r="CH53" i="2"/>
  <c r="CK53" i="2" s="1"/>
  <c r="CS53" i="2" s="1"/>
  <c r="CT53" i="2" s="1"/>
  <c r="CU53" i="2" s="1"/>
  <c r="CG51" i="2"/>
  <c r="CH51" i="2"/>
  <c r="CG11" i="2"/>
  <c r="CH11" i="2"/>
  <c r="CG30" i="2"/>
  <c r="CH30" i="2"/>
  <c r="CG48" i="2"/>
  <c r="CH48" i="2"/>
  <c r="CK48" i="2" s="1"/>
  <c r="CS48" i="2" s="1"/>
  <c r="CT48" i="2" s="1"/>
  <c r="CU48" i="2" s="1"/>
  <c r="CG34" i="2"/>
  <c r="CH34" i="2"/>
  <c r="CG49" i="2"/>
  <c r="CH49" i="2"/>
  <c r="CG14" i="2"/>
  <c r="CH14" i="2"/>
  <c r="CG26" i="2"/>
  <c r="CH26" i="2"/>
  <c r="CK26" i="2" s="1"/>
  <c r="CS26" i="2" s="1"/>
  <c r="CT26" i="2" s="1"/>
  <c r="CU26" i="2" s="1"/>
  <c r="CG15" i="2"/>
  <c r="CH15" i="2"/>
  <c r="CG8" i="2"/>
  <c r="CH8" i="2"/>
  <c r="CG43" i="2"/>
  <c r="CH43" i="2"/>
  <c r="CG36" i="2"/>
  <c r="CH36" i="2"/>
  <c r="CK36" i="2" s="1"/>
  <c r="CS36" i="2" s="1"/>
  <c r="CT36" i="2" s="1"/>
  <c r="CU36" i="2" s="1"/>
  <c r="CG25" i="2"/>
  <c r="CH25" i="2"/>
  <c r="CG50" i="2"/>
  <c r="CH50" i="2"/>
  <c r="CG31" i="2"/>
  <c r="CH31" i="2"/>
  <c r="CG38" i="2"/>
  <c r="CH38" i="2"/>
  <c r="CK38" i="2" s="1"/>
  <c r="CS38" i="2" s="1"/>
  <c r="CT38" i="2" s="1"/>
  <c r="CU38" i="2" s="1"/>
  <c r="CG12" i="2"/>
  <c r="CH12" i="2"/>
  <c r="CG41" i="2"/>
  <c r="CH41" i="2"/>
  <c r="CG18" i="2"/>
  <c r="CH18" i="2"/>
  <c r="CG19" i="2"/>
  <c r="CH19" i="2"/>
  <c r="CK19" i="2" s="1"/>
  <c r="CS19" i="2" s="1"/>
  <c r="CT19" i="2" s="1"/>
  <c r="CU19" i="2" s="1"/>
  <c r="BL10" i="8"/>
  <c r="BL12" i="8"/>
  <c r="BL52" i="8"/>
  <c r="BK15" i="8"/>
  <c r="BK10" i="8"/>
  <c r="BL38" i="8"/>
  <c r="BK32" i="8"/>
  <c r="BL27" i="8"/>
  <c r="BL6" i="8"/>
  <c r="BL25" i="8"/>
  <c r="BL21" i="8"/>
  <c r="BL35" i="8"/>
  <c r="BK18" i="8"/>
  <c r="BK7" i="8"/>
  <c r="BL22" i="8"/>
  <c r="BK6" i="8"/>
  <c r="BL53" i="8"/>
  <c r="BL54" i="8"/>
  <c r="BL5" i="8"/>
  <c r="BK20" i="8"/>
  <c r="BK36" i="8"/>
  <c r="BL8" i="8"/>
  <c r="BK19" i="8"/>
  <c r="BK12" i="8"/>
  <c r="BK31" i="8"/>
  <c r="BK26" i="8"/>
  <c r="BL4" i="8"/>
  <c r="BL20" i="8"/>
  <c r="BK42" i="8"/>
  <c r="BK52" i="8"/>
  <c r="BK35" i="8"/>
  <c r="BL48" i="8"/>
  <c r="BL16" i="8"/>
  <c r="BK13" i="8"/>
  <c r="BK30" i="8"/>
  <c r="BK48" i="8"/>
  <c r="BK25" i="8"/>
  <c r="BL40" i="8"/>
  <c r="BL29" i="8"/>
  <c r="BL42" i="8"/>
  <c r="BK24" i="8"/>
  <c r="BK51" i="8"/>
  <c r="BL45" i="8"/>
  <c r="BL46" i="8"/>
  <c r="BL13" i="8"/>
  <c r="BL47" i="8"/>
  <c r="BK21" i="8"/>
  <c r="BK16" i="8"/>
  <c r="BL50" i="8"/>
  <c r="BL7" i="8"/>
  <c r="BL15" i="8"/>
  <c r="BL11" i="8"/>
  <c r="BL51" i="8"/>
  <c r="BL36" i="8"/>
  <c r="BL18" i="8"/>
  <c r="BK28" i="8"/>
  <c r="BK22" i="8"/>
  <c r="BK23" i="8"/>
  <c r="BK34" i="8"/>
  <c r="BK8" i="8"/>
  <c r="BK41" i="8"/>
  <c r="BL37" i="8"/>
  <c r="BL43" i="8"/>
  <c r="BL33" i="8"/>
  <c r="BL23" i="8"/>
  <c r="BL49" i="8"/>
  <c r="BL9" i="8"/>
  <c r="BK49" i="8"/>
  <c r="BK33" i="8"/>
  <c r="BK38" i="8"/>
  <c r="BK9" i="8"/>
  <c r="BK43" i="8"/>
  <c r="BK54" i="8"/>
  <c r="BK40" i="8"/>
  <c r="BL39" i="8"/>
  <c r="BL26" i="8"/>
  <c r="BL41" i="8"/>
  <c r="BL24" i="8"/>
  <c r="BL31" i="8"/>
  <c r="BL17" i="8"/>
  <c r="BL44" i="8"/>
  <c r="BK45" i="8"/>
  <c r="BK17" i="8"/>
  <c r="BK50" i="8"/>
  <c r="BK14" i="8"/>
  <c r="BK27" i="8"/>
  <c r="BK39" i="8"/>
  <c r="BK5" i="8"/>
  <c r="BL32" i="8"/>
  <c r="BL14" i="8"/>
  <c r="BL30" i="8"/>
  <c r="BL19" i="8"/>
  <c r="BL34" i="8"/>
  <c r="BK11" i="8"/>
  <c r="BK44" i="8"/>
  <c r="BK37" i="8"/>
  <c r="BK47" i="8"/>
  <c r="BK46" i="8"/>
  <c r="BK4" i="8"/>
  <c r="BK29" i="8"/>
  <c r="BK53" i="8"/>
  <c r="BN41" i="8"/>
  <c r="BN30" i="8"/>
  <c r="CM47" i="16"/>
  <c r="CM21" i="16"/>
  <c r="CM44" i="16"/>
  <c r="CM52" i="16"/>
  <c r="CM26" i="16"/>
  <c r="CM43" i="16"/>
  <c r="CM35" i="16"/>
  <c r="CM24" i="16"/>
  <c r="CM29" i="16"/>
  <c r="CM27" i="16"/>
  <c r="CK28" i="16"/>
  <c r="CA28" i="16"/>
  <c r="CI28" i="16" s="1"/>
  <c r="CJ28" i="16"/>
  <c r="CK42" i="16"/>
  <c r="CA42" i="16"/>
  <c r="CI42" i="16" s="1"/>
  <c r="CJ42" i="16"/>
  <c r="CK5" i="16"/>
  <c r="CA5" i="16"/>
  <c r="CI5" i="16" s="1"/>
  <c r="CJ5" i="16"/>
  <c r="T41" i="16"/>
  <c r="CK41" i="16"/>
  <c r="CA41" i="16"/>
  <c r="CI41" i="16" s="1"/>
  <c r="CJ41" i="16"/>
  <c r="CK15" i="16"/>
  <c r="CA15" i="16"/>
  <c r="CI15" i="16" s="1"/>
  <c r="CJ15" i="16"/>
  <c r="CK54" i="16"/>
  <c r="CA54" i="16"/>
  <c r="CI54" i="16" s="1"/>
  <c r="CJ54" i="16"/>
  <c r="CK22" i="16"/>
  <c r="CA22" i="16"/>
  <c r="CI22" i="16" s="1"/>
  <c r="CJ22" i="16"/>
  <c r="CK33" i="16"/>
  <c r="CA33" i="16"/>
  <c r="CI33" i="16" s="1"/>
  <c r="CJ33" i="16"/>
  <c r="T48" i="16"/>
  <c r="CK48" i="16"/>
  <c r="CA48" i="16"/>
  <c r="CI48" i="16" s="1"/>
  <c r="CJ48" i="16"/>
  <c r="CK25" i="16"/>
  <c r="CA25" i="16"/>
  <c r="CI25" i="16" s="1"/>
  <c r="CJ25" i="16"/>
  <c r="CK17" i="16"/>
  <c r="CA17" i="16"/>
  <c r="CI17" i="16" s="1"/>
  <c r="CJ17" i="16"/>
  <c r="CK53" i="16"/>
  <c r="CA53" i="16"/>
  <c r="CI53" i="16" s="1"/>
  <c r="CJ53" i="16"/>
  <c r="CK18" i="16"/>
  <c r="CA18" i="16"/>
  <c r="CI18" i="16" s="1"/>
  <c r="CJ18" i="16"/>
  <c r="CK20" i="16"/>
  <c r="CA20" i="16"/>
  <c r="CI20" i="16" s="1"/>
  <c r="CJ20" i="16"/>
  <c r="CK32" i="16"/>
  <c r="CA32" i="16"/>
  <c r="CI32" i="16" s="1"/>
  <c r="CJ32" i="16"/>
  <c r="T46" i="16"/>
  <c r="CK46" i="16"/>
  <c r="CA46" i="16"/>
  <c r="CI46" i="16" s="1"/>
  <c r="CJ46" i="16"/>
  <c r="CK40" i="16"/>
  <c r="CA40" i="16"/>
  <c r="CI40" i="16" s="1"/>
  <c r="CJ40" i="16"/>
  <c r="CK12" i="16"/>
  <c r="CA12" i="16"/>
  <c r="CI12" i="16" s="1"/>
  <c r="CJ12" i="16"/>
  <c r="T38" i="16"/>
  <c r="CK38" i="16"/>
  <c r="CA38" i="16"/>
  <c r="CI38" i="16" s="1"/>
  <c r="CJ38" i="16"/>
  <c r="CK11" i="16"/>
  <c r="CA11" i="16"/>
  <c r="CI11" i="16" s="1"/>
  <c r="CJ11" i="16"/>
  <c r="CK6" i="16"/>
  <c r="CA6" i="16"/>
  <c r="CI6" i="16" s="1"/>
  <c r="CJ6" i="16"/>
  <c r="CK31" i="16"/>
  <c r="CA31" i="16"/>
  <c r="CI31" i="16" s="1"/>
  <c r="CJ31" i="16"/>
  <c r="CK14" i="16"/>
  <c r="CA14" i="16"/>
  <c r="CI14" i="16" s="1"/>
  <c r="CJ14" i="16"/>
  <c r="T50" i="16"/>
  <c r="CK50" i="16"/>
  <c r="CA50" i="16"/>
  <c r="CI50" i="16" s="1"/>
  <c r="CJ50" i="16"/>
  <c r="CK10" i="16"/>
  <c r="CA10" i="16"/>
  <c r="CI10" i="16" s="1"/>
  <c r="CJ10" i="16"/>
  <c r="CK34" i="16"/>
  <c r="CA34" i="16"/>
  <c r="CI34" i="16" s="1"/>
  <c r="CJ34" i="16"/>
  <c r="T51" i="16"/>
  <c r="CK51" i="16"/>
  <c r="CA51" i="16"/>
  <c r="CI51" i="16" s="1"/>
  <c r="CJ51" i="16"/>
  <c r="CK30" i="16"/>
  <c r="CA30" i="16"/>
  <c r="CI30" i="16" s="1"/>
  <c r="CJ30" i="16"/>
  <c r="T13" i="16"/>
  <c r="CK13" i="16"/>
  <c r="CA13" i="16"/>
  <c r="CI13" i="16" s="1"/>
  <c r="CJ13" i="16"/>
  <c r="T37" i="16"/>
  <c r="CK37" i="16"/>
  <c r="CA37" i="16"/>
  <c r="CI37" i="16" s="1"/>
  <c r="CJ37" i="16"/>
  <c r="CK16" i="16"/>
  <c r="CA16" i="16"/>
  <c r="CI16" i="16" s="1"/>
  <c r="CJ16" i="16"/>
  <c r="CK19" i="16"/>
  <c r="CA19" i="16"/>
  <c r="CI19" i="16" s="1"/>
  <c r="CJ19" i="16"/>
  <c r="CM36" i="16"/>
  <c r="CM39" i="16"/>
  <c r="CK45" i="16"/>
  <c r="CA45" i="16"/>
  <c r="CI45" i="16" s="1"/>
  <c r="CJ45" i="16"/>
  <c r="T49" i="16"/>
  <c r="CK49" i="16"/>
  <c r="CA49" i="16"/>
  <c r="CI49" i="16" s="1"/>
  <c r="CJ49" i="16"/>
  <c r="T8" i="16"/>
  <c r="CK8" i="16"/>
  <c r="CA8" i="16"/>
  <c r="CI8" i="16" s="1"/>
  <c r="CJ8" i="16"/>
  <c r="CK9" i="16"/>
  <c r="CA9" i="16"/>
  <c r="CI9" i="16" s="1"/>
  <c r="CJ9" i="16"/>
  <c r="CM23" i="16"/>
  <c r="CM7" i="16"/>
  <c r="CA4" i="16"/>
  <c r="CI4" i="16" s="1"/>
  <c r="CJ4" i="16"/>
  <c r="CK4" i="16"/>
  <c r="BN6" i="8"/>
  <c r="BC27" i="2"/>
  <c r="BD27" i="2" s="1"/>
  <c r="BR47" i="8"/>
  <c r="BO21" i="8"/>
  <c r="BO10" i="8"/>
  <c r="BO19" i="8"/>
  <c r="BO50" i="8"/>
  <c r="BR29" i="8"/>
  <c r="BR6" i="8"/>
  <c r="AZ42" i="2"/>
  <c r="BR27" i="8"/>
  <c r="BO26" i="8"/>
  <c r="BN17" i="8"/>
  <c r="Z10" i="2"/>
  <c r="AA10" i="2" s="1"/>
  <c r="Z45" i="2"/>
  <c r="AA45" i="2" s="1"/>
  <c r="B29" i="25"/>
  <c r="BN19" i="8"/>
  <c r="BN29" i="8"/>
  <c r="BR9" i="8"/>
  <c r="BR31" i="8"/>
  <c r="BO43" i="8"/>
  <c r="BO8" i="8"/>
  <c r="BO29" i="8"/>
  <c r="BN45" i="8"/>
  <c r="AW27" i="2"/>
  <c r="AX27" i="2" s="1"/>
  <c r="BR38" i="8"/>
  <c r="BN7" i="8"/>
  <c r="BO41" i="8"/>
  <c r="BO53" i="8"/>
  <c r="BO20" i="8"/>
  <c r="BO52" i="8"/>
  <c r="BR42" i="8"/>
  <c r="BO7" i="8"/>
  <c r="BO32" i="8"/>
  <c r="BO54" i="8"/>
  <c r="BO40" i="8"/>
  <c r="BO27" i="8"/>
  <c r="BO46" i="8"/>
  <c r="BN23" i="8"/>
  <c r="BA5" i="2"/>
  <c r="BB5" i="2" s="1"/>
  <c r="BR24" i="8"/>
  <c r="BO22" i="8"/>
  <c r="BO23" i="8"/>
  <c r="T4" i="2"/>
  <c r="B29" i="22"/>
  <c r="BO12" i="8"/>
  <c r="BO45" i="8"/>
  <c r="BO38" i="8"/>
  <c r="BN14" i="8"/>
  <c r="BR36" i="8"/>
  <c r="BR16" i="8"/>
  <c r="BR46" i="8"/>
  <c r="BR11" i="8"/>
  <c r="BR39" i="8"/>
  <c r="BR53" i="8"/>
  <c r="BO36" i="8"/>
  <c r="BO47" i="8"/>
  <c r="BO48" i="8"/>
  <c r="BO44" i="8"/>
  <c r="AZ5" i="2"/>
  <c r="BC5" i="2"/>
  <c r="BD5" i="2" s="1"/>
  <c r="AD47" i="2"/>
  <c r="AE47" i="2" s="1"/>
  <c r="BC42" i="2"/>
  <c r="BD42" i="2" s="1"/>
  <c r="T39" i="2"/>
  <c r="BN15" i="8"/>
  <c r="BR33" i="8"/>
  <c r="BR26" i="8"/>
  <c r="BR25" i="8"/>
  <c r="BR30" i="8"/>
  <c r="BN54" i="8"/>
  <c r="BN37" i="8"/>
  <c r="BN42" i="8"/>
  <c r="BN18" i="8"/>
  <c r="BN21" i="8"/>
  <c r="BN35" i="8"/>
  <c r="BR23" i="8"/>
  <c r="BN16" i="8"/>
  <c r="BN51" i="8"/>
  <c r="BN9" i="8"/>
  <c r="BA27" i="2"/>
  <c r="BB27" i="2" s="1"/>
  <c r="BR37" i="8"/>
  <c r="BR51" i="8"/>
  <c r="BR14" i="8"/>
  <c r="BR52" i="8"/>
  <c r="BR12" i="8"/>
  <c r="BN32" i="8"/>
  <c r="BN46" i="8"/>
  <c r="BN43" i="8"/>
  <c r="BR34" i="8"/>
  <c r="BR50" i="8"/>
  <c r="BR21" i="8"/>
  <c r="BN36" i="8"/>
  <c r="BR13" i="8"/>
  <c r="BR10" i="8"/>
  <c r="BR19" i="8"/>
  <c r="Z41" i="2"/>
  <c r="AA41" i="2" s="1"/>
  <c r="BR18" i="8"/>
  <c r="BR44" i="8"/>
  <c r="BR20" i="8"/>
  <c r="BR4" i="8"/>
  <c r="BR41" i="8"/>
  <c r="BR5" i="8"/>
  <c r="BN10" i="8"/>
  <c r="BN13" i="8"/>
  <c r="BN28" i="8"/>
  <c r="BN50" i="8"/>
  <c r="BN27" i="8"/>
  <c r="BN38" i="8"/>
  <c r="BR48" i="8"/>
  <c r="BN24" i="8"/>
  <c r="BN39" i="8"/>
  <c r="BN8" i="8"/>
  <c r="BN12" i="8"/>
  <c r="BN26" i="8"/>
  <c r="BN47" i="8"/>
  <c r="BN52" i="8"/>
  <c r="BR28" i="8"/>
  <c r="BR45" i="8"/>
  <c r="V42" i="2"/>
  <c r="W42" i="2" s="1"/>
  <c r="AW42" i="2"/>
  <c r="AX42" i="2" s="1"/>
  <c r="BR32" i="8"/>
  <c r="BR40" i="8"/>
  <c r="BR22" i="8"/>
  <c r="BR35" i="8"/>
  <c r="BR49" i="8"/>
  <c r="BN33" i="8"/>
  <c r="BN48" i="8"/>
  <c r="BN22" i="8"/>
  <c r="T48" i="2"/>
  <c r="AD29" i="2"/>
  <c r="AE29" i="2" s="1"/>
  <c r="BN49" i="8"/>
  <c r="T50" i="2"/>
  <c r="BN34" i="8"/>
  <c r="BN53" i="8"/>
  <c r="BN5" i="8"/>
  <c r="BN11" i="8"/>
  <c r="BN44" i="8"/>
  <c r="BN4" i="8"/>
  <c r="BR43" i="8"/>
  <c r="BR15" i="8"/>
  <c r="BR8" i="8"/>
  <c r="BR7" i="8"/>
  <c r="BR17" i="8"/>
  <c r="BN40" i="8"/>
  <c r="BN25" i="8"/>
  <c r="BN31" i="8"/>
  <c r="Z31" i="2"/>
  <c r="AA31" i="2" s="1"/>
  <c r="BO33" i="8"/>
  <c r="BO49" i="8"/>
  <c r="BO15" i="8"/>
  <c r="BO31" i="8"/>
  <c r="BO6" i="8"/>
  <c r="BO5" i="8"/>
  <c r="BO30" i="8"/>
  <c r="BO35" i="8"/>
  <c r="BO51" i="8"/>
  <c r="BO34" i="8"/>
  <c r="BO25" i="8"/>
  <c r="BO4" i="8"/>
  <c r="M77" i="3"/>
  <c r="BP35" i="8" s="1"/>
  <c r="BO18" i="8"/>
  <c r="BO9" i="8"/>
  <c r="BO39" i="8"/>
  <c r="BO11" i="8"/>
  <c r="BO14" i="8"/>
  <c r="BO13" i="8"/>
  <c r="BO37" i="8"/>
  <c r="BO42" i="8"/>
  <c r="BO28" i="8"/>
  <c r="BO24" i="8"/>
  <c r="BO17" i="8"/>
  <c r="BA25" i="2"/>
  <c r="BB25" i="2" s="1"/>
  <c r="O54" i="8"/>
  <c r="AW25" i="2"/>
  <c r="AX25" i="2" s="1"/>
  <c r="BC25" i="2"/>
  <c r="BD25" i="2" s="1"/>
  <c r="V53" i="2"/>
  <c r="W53" i="2" s="1"/>
  <c r="V8" i="8"/>
  <c r="W8" i="8" s="1"/>
  <c r="CC49" i="9"/>
  <c r="CC22" i="9"/>
  <c r="O42" i="8"/>
  <c r="CG42" i="8"/>
  <c r="CK42" i="8" s="1"/>
  <c r="CS42" i="8" s="1"/>
  <c r="CT42" i="8" s="1"/>
  <c r="CU42" i="8" s="1"/>
  <c r="P6" i="8"/>
  <c r="CG6" i="8"/>
  <c r="CK6" i="8" s="1"/>
  <c r="CS6" i="8" s="1"/>
  <c r="CT6" i="8" s="1"/>
  <c r="CU6" i="8" s="1"/>
  <c r="N23" i="8"/>
  <c r="CG23" i="8"/>
  <c r="CK23" i="8" s="1"/>
  <c r="CS23" i="8" s="1"/>
  <c r="CT23" i="8" s="1"/>
  <c r="CU23" i="8" s="1"/>
  <c r="N28" i="8"/>
  <c r="CG28" i="8"/>
  <c r="CK28" i="8" s="1"/>
  <c r="CS28" i="8" s="1"/>
  <c r="CT28" i="8" s="1"/>
  <c r="CU28" i="8" s="1"/>
  <c r="N20" i="8"/>
  <c r="CG20" i="8"/>
  <c r="CK20" i="8" s="1"/>
  <c r="CS20" i="8" s="1"/>
  <c r="CT20" i="8" s="1"/>
  <c r="CU20" i="8" s="1"/>
  <c r="AZ44" i="2"/>
  <c r="N43" i="8"/>
  <c r="CG43" i="8"/>
  <c r="CK43" i="8" s="1"/>
  <c r="CS43" i="8" s="1"/>
  <c r="CT43" i="8" s="1"/>
  <c r="CU43" i="8" s="1"/>
  <c r="N15" i="8"/>
  <c r="CG15" i="8"/>
  <c r="CK15" i="8" s="1"/>
  <c r="CS15" i="8" s="1"/>
  <c r="CT15" i="8" s="1"/>
  <c r="CU15" i="8" s="1"/>
  <c r="N38" i="8"/>
  <c r="CG38" i="8"/>
  <c r="CK38" i="8" s="1"/>
  <c r="CS38" i="8" s="1"/>
  <c r="CT38" i="8" s="1"/>
  <c r="CU38" i="8" s="1"/>
  <c r="N48" i="8"/>
  <c r="CG48" i="8"/>
  <c r="CK48" i="8" s="1"/>
  <c r="CS48" i="8" s="1"/>
  <c r="CT48" i="8" s="1"/>
  <c r="CU48" i="8" s="1"/>
  <c r="P31" i="8"/>
  <c r="CG31" i="8"/>
  <c r="CK31" i="8" s="1"/>
  <c r="CS31" i="8" s="1"/>
  <c r="CT31" i="8" s="1"/>
  <c r="CU31" i="8" s="1"/>
  <c r="CC11" i="9"/>
  <c r="CC23" i="9"/>
  <c r="BC44" i="2"/>
  <c r="BD44" i="2" s="1"/>
  <c r="P49" i="8"/>
  <c r="CG49" i="8"/>
  <c r="CK49" i="8" s="1"/>
  <c r="CS49" i="8" s="1"/>
  <c r="CT49" i="8" s="1"/>
  <c r="CU49" i="8" s="1"/>
  <c r="O51" i="8"/>
  <c r="CG51" i="8"/>
  <c r="CK51" i="8" s="1"/>
  <c r="CS51" i="8" s="1"/>
  <c r="CT51" i="8" s="1"/>
  <c r="CU51" i="8" s="1"/>
  <c r="P7" i="8"/>
  <c r="CG7" i="8"/>
  <c r="CK7" i="8" s="1"/>
  <c r="CS7" i="8" s="1"/>
  <c r="CT7" i="8" s="1"/>
  <c r="CU7" i="8" s="1"/>
  <c r="P46" i="8"/>
  <c r="CG46" i="8"/>
  <c r="CK46" i="8" s="1"/>
  <c r="CS46" i="8" s="1"/>
  <c r="CT46" i="8" s="1"/>
  <c r="CU46" i="8" s="1"/>
  <c r="P14" i="8"/>
  <c r="CG14" i="8"/>
  <c r="CK14" i="8" s="1"/>
  <c r="CS14" i="8" s="1"/>
  <c r="CT14" i="8" s="1"/>
  <c r="CU14" i="8" s="1"/>
  <c r="N24" i="8"/>
  <c r="CG24" i="8"/>
  <c r="CK24" i="8" s="1"/>
  <c r="CS24" i="8" s="1"/>
  <c r="CT24" i="8" s="1"/>
  <c r="CU24" i="8" s="1"/>
  <c r="BA44" i="2"/>
  <c r="BB44" i="2" s="1"/>
  <c r="N39" i="8"/>
  <c r="CG39" i="8"/>
  <c r="CK39" i="8" s="1"/>
  <c r="CS39" i="8" s="1"/>
  <c r="CT39" i="8" s="1"/>
  <c r="CU39" i="8" s="1"/>
  <c r="O26" i="8"/>
  <c r="CG26" i="8"/>
  <c r="CK26" i="8" s="1"/>
  <c r="CS26" i="8" s="1"/>
  <c r="CT26" i="8" s="1"/>
  <c r="CU26" i="8" s="1"/>
  <c r="P11" i="8"/>
  <c r="CG11" i="8"/>
  <c r="CK11" i="8" s="1"/>
  <c r="CS11" i="8" s="1"/>
  <c r="CT11" i="8" s="1"/>
  <c r="CU11" i="8" s="1"/>
  <c r="O13" i="8"/>
  <c r="CG13" i="8"/>
  <c r="CK13" i="8" s="1"/>
  <c r="CS13" i="8" s="1"/>
  <c r="CT13" i="8" s="1"/>
  <c r="CU13" i="8" s="1"/>
  <c r="O18" i="8"/>
  <c r="CG18" i="8"/>
  <c r="CK18" i="8" s="1"/>
  <c r="CS18" i="8" s="1"/>
  <c r="CT18" i="8" s="1"/>
  <c r="CU18" i="8" s="1"/>
  <c r="N37" i="8"/>
  <c r="CG37" i="8"/>
  <c r="CK37" i="8" s="1"/>
  <c r="CS37" i="8" s="1"/>
  <c r="CT37" i="8" s="1"/>
  <c r="CU37" i="8" s="1"/>
  <c r="P41" i="8"/>
  <c r="CG41" i="8"/>
  <c r="CK41" i="8" s="1"/>
  <c r="CS41" i="8" s="1"/>
  <c r="CT41" i="8" s="1"/>
  <c r="CU41" i="8" s="1"/>
  <c r="O22" i="8"/>
  <c r="CG22" i="8"/>
  <c r="CK22" i="8" s="1"/>
  <c r="CS22" i="8" s="1"/>
  <c r="CT22" i="8" s="1"/>
  <c r="CU22" i="8" s="1"/>
  <c r="O29" i="8"/>
  <c r="CG29" i="8"/>
  <c r="CK29" i="8" s="1"/>
  <c r="CS29" i="8" s="1"/>
  <c r="CT29" i="8" s="1"/>
  <c r="CU29" i="8" s="1"/>
  <c r="O50" i="8"/>
  <c r="CG50" i="8"/>
  <c r="CK50" i="8" s="1"/>
  <c r="CS50" i="8" s="1"/>
  <c r="CT50" i="8" s="1"/>
  <c r="CU50" i="8" s="1"/>
  <c r="N52" i="8"/>
  <c r="CG52" i="8"/>
  <c r="CK52" i="8" s="1"/>
  <c r="CS52" i="8" s="1"/>
  <c r="CT52" i="8" s="1"/>
  <c r="CU52" i="8" s="1"/>
  <c r="N40" i="8"/>
  <c r="CG40" i="8"/>
  <c r="CK40" i="8" s="1"/>
  <c r="CS40" i="8" s="1"/>
  <c r="CT40" i="8" s="1"/>
  <c r="CU40" i="8" s="1"/>
  <c r="N45" i="8"/>
  <c r="CG45" i="8"/>
  <c r="CK45" i="8" s="1"/>
  <c r="CS45" i="8" s="1"/>
  <c r="CT45" i="8" s="1"/>
  <c r="CU45" i="8" s="1"/>
  <c r="N32" i="8"/>
  <c r="CG32" i="8"/>
  <c r="CK32" i="8" s="1"/>
  <c r="CS32" i="8" s="1"/>
  <c r="CT32" i="8" s="1"/>
  <c r="CU32" i="8" s="1"/>
  <c r="P19" i="8"/>
  <c r="CG19" i="8"/>
  <c r="CK19" i="8" s="1"/>
  <c r="CS19" i="8" s="1"/>
  <c r="CT19" i="8" s="1"/>
  <c r="CU19" i="8" s="1"/>
  <c r="O5" i="8"/>
  <c r="CG5" i="8"/>
  <c r="CK5" i="8" s="1"/>
  <c r="CS5" i="8" s="1"/>
  <c r="CT5" i="8" s="1"/>
  <c r="CU5" i="8" s="1"/>
  <c r="CC47" i="9"/>
  <c r="N12" i="8"/>
  <c r="CG12" i="8"/>
  <c r="CK12" i="8" s="1"/>
  <c r="CS12" i="8" s="1"/>
  <c r="CT12" i="8" s="1"/>
  <c r="CU12" i="8" s="1"/>
  <c r="N53" i="8"/>
  <c r="CG53" i="8"/>
  <c r="CK53" i="8" s="1"/>
  <c r="CS53" i="8" s="1"/>
  <c r="CT53" i="8" s="1"/>
  <c r="CU53" i="8" s="1"/>
  <c r="N36" i="8"/>
  <c r="CG36" i="8"/>
  <c r="CK36" i="8" s="1"/>
  <c r="CS36" i="8" s="1"/>
  <c r="CT36" i="8" s="1"/>
  <c r="CU36" i="8" s="1"/>
  <c r="N16" i="8"/>
  <c r="CG16" i="8"/>
  <c r="CK16" i="8" s="1"/>
  <c r="CS16" i="8" s="1"/>
  <c r="CT16" i="8" s="1"/>
  <c r="CU16" i="8" s="1"/>
  <c r="N44" i="8"/>
  <c r="CG44" i="8"/>
  <c r="CK44" i="8" s="1"/>
  <c r="CS44" i="8" s="1"/>
  <c r="CT44" i="8" s="1"/>
  <c r="CU44" i="8" s="1"/>
  <c r="P47" i="8"/>
  <c r="CG47" i="8"/>
  <c r="CK47" i="8" s="1"/>
  <c r="CS47" i="8" s="1"/>
  <c r="CT47" i="8" s="1"/>
  <c r="CU47" i="8" s="1"/>
  <c r="N8" i="8"/>
  <c r="CG8" i="8"/>
  <c r="CK8" i="8" s="1"/>
  <c r="CS8" i="8" s="1"/>
  <c r="CT8" i="8" s="1"/>
  <c r="CU8" i="8" s="1"/>
  <c r="O34" i="8"/>
  <c r="CG34" i="8"/>
  <c r="CK34" i="8" s="1"/>
  <c r="CS34" i="8" s="1"/>
  <c r="CT34" i="8" s="1"/>
  <c r="CU34" i="8" s="1"/>
  <c r="O9" i="8"/>
  <c r="CG9" i="8"/>
  <c r="CK9" i="8" s="1"/>
  <c r="CS9" i="8" s="1"/>
  <c r="CT9" i="8" s="1"/>
  <c r="CU9" i="8" s="1"/>
  <c r="N33" i="8"/>
  <c r="CG33" i="8"/>
  <c r="CK33" i="8" s="1"/>
  <c r="CS33" i="8" s="1"/>
  <c r="CT33" i="8" s="1"/>
  <c r="CU33" i="8" s="1"/>
  <c r="P21" i="8"/>
  <c r="CG21" i="8"/>
  <c r="CK21" i="8" s="1"/>
  <c r="CS21" i="8" s="1"/>
  <c r="CT21" i="8" s="1"/>
  <c r="CU21" i="8" s="1"/>
  <c r="CC30" i="9"/>
  <c r="AD13" i="2"/>
  <c r="AE13" i="2" s="1"/>
  <c r="N35" i="8"/>
  <c r="CG35" i="8"/>
  <c r="CK35" i="8" s="1"/>
  <c r="CS35" i="8" s="1"/>
  <c r="CT35" i="8" s="1"/>
  <c r="CU35" i="8" s="1"/>
  <c r="O30" i="8"/>
  <c r="CG30" i="8"/>
  <c r="CK30" i="8" s="1"/>
  <c r="CS30" i="8" s="1"/>
  <c r="CT30" i="8" s="1"/>
  <c r="CU30" i="8" s="1"/>
  <c r="O10" i="8"/>
  <c r="CG10" i="8"/>
  <c r="CK10" i="8" s="1"/>
  <c r="CS10" i="8" s="1"/>
  <c r="CT10" i="8" s="1"/>
  <c r="CU10" i="8" s="1"/>
  <c r="P17" i="8"/>
  <c r="CG17" i="8"/>
  <c r="CK17" i="8" s="1"/>
  <c r="CS17" i="8" s="1"/>
  <c r="CT17" i="8" s="1"/>
  <c r="CU17" i="8" s="1"/>
  <c r="P25" i="8"/>
  <c r="CG25" i="8"/>
  <c r="CK25" i="8" s="1"/>
  <c r="CS25" i="8" s="1"/>
  <c r="CT25" i="8" s="1"/>
  <c r="CU25" i="8" s="1"/>
  <c r="N27" i="8"/>
  <c r="CG27" i="8"/>
  <c r="CK27" i="8" s="1"/>
  <c r="CS27" i="8" s="1"/>
  <c r="CT27" i="8" s="1"/>
  <c r="CU27" i="8" s="1"/>
  <c r="CC21" i="9"/>
  <c r="CC32" i="9"/>
  <c r="CC40" i="9"/>
  <c r="CC10" i="9"/>
  <c r="CC34" i="9"/>
  <c r="CC29" i="9"/>
  <c r="CC12" i="9"/>
  <c r="CC37" i="9"/>
  <c r="T22" i="8"/>
  <c r="P22" i="8"/>
  <c r="N25" i="8"/>
  <c r="N29" i="8"/>
  <c r="N54" i="8"/>
  <c r="P54" i="8"/>
  <c r="N19" i="8"/>
  <c r="O19" i="8"/>
  <c r="O20" i="8"/>
  <c r="O31" i="8"/>
  <c r="P20" i="8"/>
  <c r="O8" i="8"/>
  <c r="N22" i="8"/>
  <c r="P29" i="8"/>
  <c r="O27" i="8"/>
  <c r="O28" i="8"/>
  <c r="V27" i="8"/>
  <c r="W27" i="8" s="1"/>
  <c r="P28" i="8"/>
  <c r="T25" i="8"/>
  <c r="N31" i="8"/>
  <c r="P27" i="8"/>
  <c r="O25" i="8"/>
  <c r="BC12" i="8"/>
  <c r="BD12" i="8" s="1"/>
  <c r="O47" i="8"/>
  <c r="P10" i="8"/>
  <c r="N47" i="8"/>
  <c r="AZ6" i="8"/>
  <c r="O44" i="8"/>
  <c r="P8" i="8"/>
  <c r="O16" i="8"/>
  <c r="P16" i="8"/>
  <c r="O24" i="8"/>
  <c r="N14" i="8"/>
  <c r="P48" i="8"/>
  <c r="P37" i="8"/>
  <c r="O14" i="8"/>
  <c r="O37" i="8"/>
  <c r="T37" i="8"/>
  <c r="AD15" i="8"/>
  <c r="AE15" i="8" s="1"/>
  <c r="O41" i="8"/>
  <c r="AW12" i="8"/>
  <c r="AX12" i="8" s="1"/>
  <c r="N41" i="8"/>
  <c r="P24" i="8"/>
  <c r="T48" i="8"/>
  <c r="O46" i="8"/>
  <c r="P33" i="8"/>
  <c r="T24" i="8"/>
  <c r="AZ12" i="8"/>
  <c r="T33" i="8"/>
  <c r="O48" i="8"/>
  <c r="N10" i="8"/>
  <c r="P44" i="8"/>
  <c r="O33" i="8"/>
  <c r="P32" i="8"/>
  <c r="P38" i="8"/>
  <c r="O32" i="8"/>
  <c r="N11" i="8"/>
  <c r="O23" i="8"/>
  <c r="O11" i="8"/>
  <c r="O45" i="8"/>
  <c r="P15" i="8"/>
  <c r="P5" i="8"/>
  <c r="T5" i="8"/>
  <c r="N5" i="8"/>
  <c r="N13" i="8"/>
  <c r="P30" i="8"/>
  <c r="N21" i="8"/>
  <c r="O52" i="8"/>
  <c r="P34" i="8"/>
  <c r="N17" i="8"/>
  <c r="N30" i="8"/>
  <c r="N34" i="8"/>
  <c r="O53" i="8"/>
  <c r="O17" i="8"/>
  <c r="P39" i="8"/>
  <c r="P26" i="8"/>
  <c r="O21" i="8"/>
  <c r="O39" i="8"/>
  <c r="P53" i="8"/>
  <c r="N46" i="8"/>
  <c r="P18" i="8"/>
  <c r="O38" i="8"/>
  <c r="O15" i="8"/>
  <c r="P45" i="8"/>
  <c r="O35" i="8"/>
  <c r="P51" i="8"/>
  <c r="P9" i="8"/>
  <c r="O36" i="8"/>
  <c r="V52" i="8"/>
  <c r="W52" i="8" s="1"/>
  <c r="N49" i="8"/>
  <c r="P35" i="8"/>
  <c r="N51" i="8"/>
  <c r="N7" i="8"/>
  <c r="P42" i="8"/>
  <c r="N18" i="8"/>
  <c r="P36" i="8"/>
  <c r="P50" i="8"/>
  <c r="AW6" i="8"/>
  <c r="AX6" i="8" s="1"/>
  <c r="O49" i="8"/>
  <c r="O7" i="8"/>
  <c r="N42" i="8"/>
  <c r="P43" i="8"/>
  <c r="O6" i="8"/>
  <c r="N9" i="8"/>
  <c r="BA6" i="8"/>
  <c r="BB6" i="8" s="1"/>
  <c r="P40" i="8"/>
  <c r="O43" i="8"/>
  <c r="N6" i="8"/>
  <c r="P13" i="8"/>
  <c r="P23" i="8"/>
  <c r="P12" i="8"/>
  <c r="Z36" i="8"/>
  <c r="N50" i="8"/>
  <c r="Z38" i="8"/>
  <c r="O40" i="8"/>
  <c r="N26" i="8"/>
  <c r="P52" i="8"/>
  <c r="O12" i="8"/>
  <c r="T8" i="2"/>
  <c r="V46" i="2"/>
  <c r="W46" i="2" s="1"/>
  <c r="V32" i="2"/>
  <c r="W32" i="2" s="1"/>
  <c r="CK21" i="2"/>
  <c r="CS21" i="2" s="1"/>
  <c r="CT21" i="2" s="1"/>
  <c r="CU21" i="2" s="1"/>
  <c r="CK45" i="2"/>
  <c r="CS45" i="2" s="1"/>
  <c r="CT45" i="2" s="1"/>
  <c r="CU45" i="2" s="1"/>
  <c r="CK27" i="2"/>
  <c r="CS27" i="2" s="1"/>
  <c r="CT27" i="2" s="1"/>
  <c r="CU27" i="2" s="1"/>
  <c r="CK29" i="2"/>
  <c r="CS29" i="2" s="1"/>
  <c r="CT29" i="2" s="1"/>
  <c r="CU29" i="2" s="1"/>
  <c r="CK5" i="2"/>
  <c r="CS5" i="2" s="1"/>
  <c r="CT5" i="2" s="1"/>
  <c r="CU5" i="2" s="1"/>
  <c r="T36" i="2"/>
  <c r="V37" i="2"/>
  <c r="W37" i="2" s="1"/>
  <c r="V21" i="2"/>
  <c r="W21" i="2" s="1"/>
  <c r="T44" i="2"/>
  <c r="T47" i="2"/>
  <c r="V16" i="2"/>
  <c r="W16" i="2" s="1"/>
  <c r="T54" i="2"/>
  <c r="V34" i="2"/>
  <c r="W34" i="2" s="1"/>
  <c r="T17" i="2"/>
  <c r="V33" i="2"/>
  <c r="W33" i="2" s="1"/>
  <c r="V13" i="2"/>
  <c r="W13" i="2" s="1"/>
  <c r="V45" i="2"/>
  <c r="W45" i="2" s="1"/>
  <c r="V41" i="2"/>
  <c r="W41" i="2" s="1"/>
  <c r="V26" i="2"/>
  <c r="W26" i="2" s="1"/>
  <c r="V15" i="2"/>
  <c r="W15" i="2" s="1"/>
  <c r="T24" i="2"/>
  <c r="V11" i="2"/>
  <c r="W11" i="2" s="1"/>
  <c r="T26" i="2"/>
  <c r="V4" i="2"/>
  <c r="AX47" i="16"/>
  <c r="AY47" i="16" s="1"/>
  <c r="AZ16" i="16"/>
  <c r="AZ47" i="16"/>
  <c r="BD47" i="16"/>
  <c r="BE47" i="16" s="1"/>
  <c r="BA47" i="16"/>
  <c r="R9" i="16"/>
  <c r="T9" i="16"/>
  <c r="DA9" i="16"/>
  <c r="CV9" i="16"/>
  <c r="BD23" i="16"/>
  <c r="BE23" i="16" s="1"/>
  <c r="AX23" i="16"/>
  <c r="AY23" i="16" s="1"/>
  <c r="AZ23" i="16"/>
  <c r="BB23" i="16"/>
  <c r="BC23" i="16" s="1"/>
  <c r="AD49" i="2"/>
  <c r="AE49" i="2" s="1"/>
  <c r="S23" i="16"/>
  <c r="T23" i="16" s="1"/>
  <c r="CV23" i="16"/>
  <c r="CV24" i="16"/>
  <c r="DA24" i="16"/>
  <c r="CV36" i="16"/>
  <c r="DA36" i="16"/>
  <c r="CV52" i="16"/>
  <c r="DA52" i="16"/>
  <c r="DA21" i="16"/>
  <c r="CV21" i="16"/>
  <c r="CV10" i="16"/>
  <c r="DA10" i="16"/>
  <c r="DA6" i="16"/>
  <c r="CV6" i="16"/>
  <c r="DA40" i="16"/>
  <c r="CV40" i="16"/>
  <c r="CV12" i="16"/>
  <c r="DA12" i="16"/>
  <c r="CV35" i="16"/>
  <c r="DA35" i="16"/>
  <c r="T53" i="16"/>
  <c r="DA33" i="16"/>
  <c r="CV33" i="16"/>
  <c r="DA29" i="16"/>
  <c r="CV29" i="16"/>
  <c r="DA14" i="16"/>
  <c r="CV14" i="16"/>
  <c r="CV11" i="16"/>
  <c r="DA11" i="16"/>
  <c r="DA18" i="16"/>
  <c r="CV18" i="16"/>
  <c r="CV34" i="16"/>
  <c r="DA34" i="16"/>
  <c r="CV19" i="16"/>
  <c r="DA19" i="16"/>
  <c r="CV45" i="16"/>
  <c r="DA45" i="16"/>
  <c r="CV22" i="16"/>
  <c r="DA22" i="16"/>
  <c r="CV43" i="16"/>
  <c r="DA43" i="16"/>
  <c r="DA30" i="16"/>
  <c r="CV30" i="16"/>
  <c r="DA39" i="16"/>
  <c r="CV39" i="16"/>
  <c r="DA25" i="16"/>
  <c r="CV25" i="16"/>
  <c r="DA54" i="16"/>
  <c r="CV54" i="16"/>
  <c r="DA27" i="16"/>
  <c r="CV27" i="16"/>
  <c r="CV26" i="16"/>
  <c r="DA26" i="16"/>
  <c r="DA17" i="16"/>
  <c r="CV17" i="16"/>
  <c r="DA15" i="16"/>
  <c r="CV15" i="16"/>
  <c r="CV44" i="16"/>
  <c r="DA44" i="16"/>
  <c r="CV28" i="16"/>
  <c r="DA28" i="16"/>
  <c r="CV20" i="16"/>
  <c r="DA20" i="16"/>
  <c r="CV31" i="16"/>
  <c r="DA31" i="16"/>
  <c r="DA7" i="16"/>
  <c r="CV7" i="16"/>
  <c r="CV32" i="16"/>
  <c r="DA32" i="16"/>
  <c r="DA5" i="16"/>
  <c r="CV5" i="16"/>
  <c r="CV47" i="16"/>
  <c r="DA47" i="16"/>
  <c r="BA4" i="16"/>
  <c r="BB4" i="16"/>
  <c r="BC4" i="16" s="1"/>
  <c r="T4" i="16"/>
  <c r="Z4" i="2"/>
  <c r="AA4" i="2" s="1"/>
  <c r="Z49" i="2"/>
  <c r="AA49" i="2" s="1"/>
  <c r="BD4" i="16"/>
  <c r="BE4" i="16" s="1"/>
  <c r="BB37" i="16"/>
  <c r="BC37" i="16" s="1"/>
  <c r="AZ4" i="16"/>
  <c r="BD37" i="16"/>
  <c r="BE37" i="16" s="1"/>
  <c r="AZ37" i="16"/>
  <c r="S10" i="16"/>
  <c r="R10" i="16" s="1"/>
  <c r="BB50" i="16"/>
  <c r="BC50" i="16" s="1"/>
  <c r="AZ4" i="2"/>
  <c r="BA50" i="16"/>
  <c r="BA4" i="2"/>
  <c r="BB4" i="2" s="1"/>
  <c r="AZ50" i="16"/>
  <c r="S34" i="16"/>
  <c r="R34" i="16" s="1"/>
  <c r="S19" i="16"/>
  <c r="T19" i="16" s="1"/>
  <c r="S18" i="16"/>
  <c r="T18" i="16" s="1"/>
  <c r="BC4" i="2"/>
  <c r="BD4" i="2" s="1"/>
  <c r="BD50" i="16"/>
  <c r="BE50" i="16" s="1"/>
  <c r="S15" i="16"/>
  <c r="T15" i="16" s="1"/>
  <c r="S47" i="16"/>
  <c r="T47" i="16" s="1"/>
  <c r="AX53" i="16"/>
  <c r="AY53" i="16" s="1"/>
  <c r="Z19" i="2"/>
  <c r="AA19" i="2" s="1"/>
  <c r="BD21" i="16"/>
  <c r="BE21" i="16" s="1"/>
  <c r="BA21" i="16"/>
  <c r="BD53" i="16"/>
  <c r="BE53" i="16" s="1"/>
  <c r="AZ21" i="16"/>
  <c r="BD38" i="16"/>
  <c r="BE38" i="16" s="1"/>
  <c r="BA22" i="8"/>
  <c r="BB22" i="8" s="1"/>
  <c r="AD4" i="2"/>
  <c r="AE4" i="2" s="1"/>
  <c r="BB38" i="16"/>
  <c r="BC38" i="16" s="1"/>
  <c r="BC22" i="8"/>
  <c r="BD22" i="8" s="1"/>
  <c r="AD22" i="8"/>
  <c r="AE22" i="8" s="1"/>
  <c r="T16" i="16"/>
  <c r="AX38" i="16"/>
  <c r="AY38" i="16" s="1"/>
  <c r="AZ38" i="16"/>
  <c r="AD34" i="2"/>
  <c r="AE34" i="2" s="1"/>
  <c r="AX21" i="16"/>
  <c r="AY21" i="16" s="1"/>
  <c r="BD16" i="16"/>
  <c r="BE16" i="16" s="1"/>
  <c r="T10" i="8"/>
  <c r="BA53" i="16"/>
  <c r="AZ53" i="16"/>
  <c r="AZ35" i="16"/>
  <c r="BD35" i="16"/>
  <c r="BE35" i="16" s="1"/>
  <c r="AX16" i="16"/>
  <c r="AY16" i="16" s="1"/>
  <c r="BA35" i="16"/>
  <c r="AD19" i="2"/>
  <c r="AE19" i="2" s="1"/>
  <c r="T42" i="16"/>
  <c r="AX35" i="16"/>
  <c r="AY35" i="16" s="1"/>
  <c r="BB16" i="16"/>
  <c r="BC16" i="16" s="1"/>
  <c r="R16" i="16"/>
  <c r="AX37" i="16"/>
  <c r="AY37" i="16" s="1"/>
  <c r="S14" i="16"/>
  <c r="R14" i="16" s="1"/>
  <c r="S28" i="16"/>
  <c r="T28" i="16" s="1"/>
  <c r="BA42" i="16"/>
  <c r="S54" i="16"/>
  <c r="R54" i="16" s="1"/>
  <c r="S21" i="16"/>
  <c r="T21" i="16" s="1"/>
  <c r="S45" i="16"/>
  <c r="R45" i="16" s="1"/>
  <c r="S22" i="16"/>
  <c r="R22" i="16" s="1"/>
  <c r="S52" i="16"/>
  <c r="T52" i="16" s="1"/>
  <c r="S36" i="16"/>
  <c r="T36" i="16" s="1"/>
  <c r="S44" i="16"/>
  <c r="R44" i="16" s="1"/>
  <c r="S35" i="16"/>
  <c r="AX42" i="16"/>
  <c r="AY42" i="16" s="1"/>
  <c r="S5" i="16"/>
  <c r="T5" i="16" s="1"/>
  <c r="S25" i="16"/>
  <c r="R25" i="16" s="1"/>
  <c r="BD42" i="16"/>
  <c r="BE42" i="16" s="1"/>
  <c r="S33" i="16"/>
  <c r="T33" i="16" s="1"/>
  <c r="S43" i="16"/>
  <c r="T43" i="16" s="1"/>
  <c r="S40" i="16"/>
  <c r="T40" i="16" s="1"/>
  <c r="S24" i="16"/>
  <c r="T24" i="16" s="1"/>
  <c r="S6" i="16"/>
  <c r="R6" i="16" s="1"/>
  <c r="S31" i="16"/>
  <c r="R31" i="16" s="1"/>
  <c r="BB42" i="16"/>
  <c r="BC42" i="16" s="1"/>
  <c r="Z38" i="2"/>
  <c r="AA38" i="2" s="1"/>
  <c r="S26" i="16"/>
  <c r="T26" i="16" s="1"/>
  <c r="S12" i="16"/>
  <c r="T12" i="16" s="1"/>
  <c r="S11" i="16"/>
  <c r="T11" i="16" s="1"/>
  <c r="S32" i="16"/>
  <c r="R32" i="16" s="1"/>
  <c r="S17" i="16"/>
  <c r="T17" i="16" s="1"/>
  <c r="S20" i="16"/>
  <c r="T20" i="16" s="1"/>
  <c r="S39" i="16"/>
  <c r="T39" i="16" s="1"/>
  <c r="S29" i="16"/>
  <c r="T29" i="16" s="1"/>
  <c r="S27" i="16"/>
  <c r="T27" i="16" s="1"/>
  <c r="S30" i="16"/>
  <c r="R30" i="16" s="1"/>
  <c r="S7" i="16"/>
  <c r="T7" i="16" s="1"/>
  <c r="AD5" i="8"/>
  <c r="AE5" i="8" s="1"/>
  <c r="Z37" i="2"/>
  <c r="AA37" i="2" s="1"/>
  <c r="BA20" i="8"/>
  <c r="BB20" i="8" s="1"/>
  <c r="Z24" i="2"/>
  <c r="AA24" i="2" s="1"/>
  <c r="V54" i="8"/>
  <c r="AZ31" i="8"/>
  <c r="BA31" i="8"/>
  <c r="BB31" i="8" s="1"/>
  <c r="AT11" i="9"/>
  <c r="AU11" i="9" s="1"/>
  <c r="AN11" i="9"/>
  <c r="AO11" i="9" s="1"/>
  <c r="AD43" i="8"/>
  <c r="AE43" i="8" s="1"/>
  <c r="AD53" i="2"/>
  <c r="AE53" i="2" s="1"/>
  <c r="AQ11" i="9"/>
  <c r="AD24" i="2"/>
  <c r="AE24" i="2" s="1"/>
  <c r="AN37" i="9"/>
  <c r="AO37" i="9" s="1"/>
  <c r="J114" i="3"/>
  <c r="BH25" i="9" s="1"/>
  <c r="AD46" i="2"/>
  <c r="AE46" i="2" s="1"/>
  <c r="AD31" i="2"/>
  <c r="AE31" i="2" s="1"/>
  <c r="V51" i="8"/>
  <c r="AQ37" i="9"/>
  <c r="AZ22" i="8"/>
  <c r="E114" i="3"/>
  <c r="BC20" i="8"/>
  <c r="BD20" i="8" s="1"/>
  <c r="Z33" i="8"/>
  <c r="AD50" i="2"/>
  <c r="AE50" i="2" s="1"/>
  <c r="AD20" i="8"/>
  <c r="AE20" i="8" s="1"/>
  <c r="AZ20" i="8"/>
  <c r="AD30" i="2"/>
  <c r="AE30" i="2" s="1"/>
  <c r="D114" i="3"/>
  <c r="AR37" i="9"/>
  <c r="AS37" i="9" s="1"/>
  <c r="T43" i="8"/>
  <c r="Z27" i="2"/>
  <c r="AA27" i="2" s="1"/>
  <c r="BB46" i="16"/>
  <c r="BC46" i="16" s="1"/>
  <c r="AZ36" i="8"/>
  <c r="V26" i="8"/>
  <c r="W26" i="8" s="1"/>
  <c r="B39" i="8"/>
  <c r="B91" i="25" s="1"/>
  <c r="Z30" i="2"/>
  <c r="AA30" i="2" s="1"/>
  <c r="AD4" i="8"/>
  <c r="AE4" i="8" s="1"/>
  <c r="Z20" i="8"/>
  <c r="AD8" i="8"/>
  <c r="AE8" i="8" s="1"/>
  <c r="AD30" i="8"/>
  <c r="AE30" i="8" s="1"/>
  <c r="Z54" i="8"/>
  <c r="Z8" i="8"/>
  <c r="Z30" i="9"/>
  <c r="Z47" i="9"/>
  <c r="Z34" i="9"/>
  <c r="R53" i="16"/>
  <c r="R50" i="16"/>
  <c r="Z25" i="9"/>
  <c r="Z37" i="9"/>
  <c r="Z40" i="9"/>
  <c r="Z50" i="9"/>
  <c r="Z33" i="9"/>
  <c r="AB41" i="16"/>
  <c r="R41" i="16"/>
  <c r="AQ44" i="9"/>
  <c r="Z22" i="9"/>
  <c r="Z29" i="9"/>
  <c r="AB22" i="16"/>
  <c r="Z53" i="9"/>
  <c r="AR44" i="9"/>
  <c r="AS44" i="9" s="1"/>
  <c r="Z39" i="8"/>
  <c r="Z11" i="9"/>
  <c r="Z10" i="9"/>
  <c r="AT44" i="9"/>
  <c r="AU44" i="9" s="1"/>
  <c r="Z35" i="9"/>
  <c r="Z41" i="9"/>
  <c r="Z9" i="9"/>
  <c r="Z20" i="2"/>
  <c r="AA20" i="2" s="1"/>
  <c r="Z12" i="2"/>
  <c r="AA12" i="2" s="1"/>
  <c r="AD14" i="2"/>
  <c r="AE14" i="2" s="1"/>
  <c r="AD33" i="2"/>
  <c r="AE33" i="2" s="1"/>
  <c r="AB27" i="16"/>
  <c r="Z27" i="9"/>
  <c r="T38" i="8"/>
  <c r="BC37" i="8"/>
  <c r="BD37" i="8" s="1"/>
  <c r="Z20" i="9"/>
  <c r="AD49" i="8"/>
  <c r="AE49" i="8" s="1"/>
  <c r="AX48" i="16"/>
  <c r="AY48" i="16" s="1"/>
  <c r="Z31" i="9"/>
  <c r="R42" i="16"/>
  <c r="BA10" i="2"/>
  <c r="BB10" i="2" s="1"/>
  <c r="AX49" i="16"/>
  <c r="AY49" i="16" s="1"/>
  <c r="BD49" i="16"/>
  <c r="BE49" i="16" s="1"/>
  <c r="AZ12" i="2"/>
  <c r="BA12" i="2"/>
  <c r="BB12" i="2" s="1"/>
  <c r="BA36" i="8"/>
  <c r="BB36" i="8" s="1"/>
  <c r="AZ10" i="2"/>
  <c r="BC54" i="2"/>
  <c r="BD54" i="2" s="1"/>
  <c r="BA49" i="2"/>
  <c r="BB49" i="2" s="1"/>
  <c r="AW10" i="2"/>
  <c r="AX10" i="2" s="1"/>
  <c r="AZ47" i="2"/>
  <c r="AW12" i="2"/>
  <c r="AX12" i="2" s="1"/>
  <c r="AX39" i="16"/>
  <c r="AY39" i="16" s="1"/>
  <c r="AD21" i="2"/>
  <c r="AE21" i="2" s="1"/>
  <c r="V41" i="8"/>
  <c r="AZ39" i="16"/>
  <c r="AZ4" i="8"/>
  <c r="AW29" i="2"/>
  <c r="AX29" i="2" s="1"/>
  <c r="AW43" i="8"/>
  <c r="AX43" i="8" s="1"/>
  <c r="AD38" i="8"/>
  <c r="AE38" i="8" s="1"/>
  <c r="AD22" i="2"/>
  <c r="AE22" i="2" s="1"/>
  <c r="BA39" i="16"/>
  <c r="BC21" i="2"/>
  <c r="BD21" i="2" s="1"/>
  <c r="AZ36" i="16"/>
  <c r="T33" i="2"/>
  <c r="T27" i="8"/>
  <c r="T21" i="2"/>
  <c r="AW43" i="2"/>
  <c r="AX43" i="2" s="1"/>
  <c r="Z35" i="2"/>
  <c r="AA35" i="2" s="1"/>
  <c r="AD15" i="2"/>
  <c r="AE15" i="2" s="1"/>
  <c r="Z47" i="8"/>
  <c r="AD17" i="2"/>
  <c r="AE17" i="2" s="1"/>
  <c r="BD39" i="16"/>
  <c r="BE39" i="16" s="1"/>
  <c r="T42" i="8"/>
  <c r="BC41" i="2"/>
  <c r="BD41" i="2" s="1"/>
  <c r="T41" i="2"/>
  <c r="Z33" i="2"/>
  <c r="AA33" i="2" s="1"/>
  <c r="T54" i="8"/>
  <c r="T36" i="8"/>
  <c r="V16" i="8"/>
  <c r="T29" i="8"/>
  <c r="AW25" i="8"/>
  <c r="AX25" i="8" s="1"/>
  <c r="BC21" i="8"/>
  <c r="BD21" i="8" s="1"/>
  <c r="AZ25" i="8"/>
  <c r="AD47" i="8"/>
  <c r="AE47" i="8" s="1"/>
  <c r="V20" i="8"/>
  <c r="W20" i="8" s="1"/>
  <c r="V25" i="8"/>
  <c r="AW31" i="2"/>
  <c r="AX31" i="2" s="1"/>
  <c r="BA24" i="16"/>
  <c r="Z46" i="2"/>
  <c r="AA46" i="2" s="1"/>
  <c r="T42" i="2"/>
  <c r="V24" i="2"/>
  <c r="Z5" i="2"/>
  <c r="AA5" i="2" s="1"/>
  <c r="Z6" i="8"/>
  <c r="Z47" i="2"/>
  <c r="AA47" i="2" s="1"/>
  <c r="Z42" i="2"/>
  <c r="AA42" i="2" s="1"/>
  <c r="AD42" i="8"/>
  <c r="AE42" i="8" s="1"/>
  <c r="Z9" i="2"/>
  <c r="AA9" i="2" s="1"/>
  <c r="AD27" i="2"/>
  <c r="AE27" i="2" s="1"/>
  <c r="T20" i="8"/>
  <c r="Z42" i="8"/>
  <c r="AW47" i="2"/>
  <c r="AX47" i="2" s="1"/>
  <c r="AW13" i="8"/>
  <c r="AX13" i="8" s="1"/>
  <c r="T23" i="8"/>
  <c r="AZ14" i="2"/>
  <c r="AW26" i="2"/>
  <c r="AX26" i="2" s="1"/>
  <c r="Z39" i="2"/>
  <c r="AA39" i="2" s="1"/>
  <c r="BA41" i="2"/>
  <c r="BB41" i="2" s="1"/>
  <c r="T8" i="8"/>
  <c r="AD39" i="8"/>
  <c r="AE39" i="8" s="1"/>
  <c r="AZ29" i="2"/>
  <c r="V39" i="8"/>
  <c r="AD25" i="8"/>
  <c r="AE25" i="8" s="1"/>
  <c r="AW36" i="8"/>
  <c r="AX36" i="8" s="1"/>
  <c r="AZ31" i="2"/>
  <c r="BC26" i="8"/>
  <c r="BD26" i="8" s="1"/>
  <c r="AX27" i="16"/>
  <c r="AY27" i="16" s="1"/>
  <c r="AW31" i="8"/>
  <c r="AX31" i="8" s="1"/>
  <c r="BC29" i="2"/>
  <c r="BD29" i="2" s="1"/>
  <c r="BC26" i="2"/>
  <c r="BD26" i="2" s="1"/>
  <c r="AW38" i="8"/>
  <c r="AX38" i="8" s="1"/>
  <c r="Z8" i="2"/>
  <c r="AA8" i="2" s="1"/>
  <c r="BC31" i="2"/>
  <c r="BD31" i="2" s="1"/>
  <c r="BA26" i="8"/>
  <c r="BB26" i="8" s="1"/>
  <c r="AW49" i="2"/>
  <c r="AX49" i="2" s="1"/>
  <c r="BA26" i="2"/>
  <c r="BB26" i="2" s="1"/>
  <c r="AD35" i="2"/>
  <c r="AE35" i="2" s="1"/>
  <c r="AW17" i="2"/>
  <c r="AX17" i="2" s="1"/>
  <c r="BD41" i="16"/>
  <c r="BE41" i="16" s="1"/>
  <c r="Z46" i="8"/>
  <c r="Z29" i="8"/>
  <c r="BD27" i="16"/>
  <c r="BE27" i="16" s="1"/>
  <c r="AD33" i="8"/>
  <c r="AE33" i="8" s="1"/>
  <c r="Z25" i="8"/>
  <c r="V24" i="8"/>
  <c r="W24" i="8" s="1"/>
  <c r="BB49" i="16"/>
  <c r="BC49" i="16" s="1"/>
  <c r="AX51" i="16"/>
  <c r="AY51" i="16" s="1"/>
  <c r="AZ49" i="2"/>
  <c r="AD28" i="8"/>
  <c r="AE28" i="8" s="1"/>
  <c r="AZ23" i="2"/>
  <c r="BA14" i="2"/>
  <c r="BB14" i="2" s="1"/>
  <c r="AD36" i="8"/>
  <c r="AE36" i="8" s="1"/>
  <c r="AD41" i="2"/>
  <c r="AE41" i="2" s="1"/>
  <c r="AD45" i="2"/>
  <c r="AE45" i="2" s="1"/>
  <c r="Z18" i="2"/>
  <c r="AA18" i="2" s="1"/>
  <c r="Z22" i="2"/>
  <c r="AA22" i="2" s="1"/>
  <c r="AD50" i="8"/>
  <c r="AE50" i="8" s="1"/>
  <c r="AW14" i="2"/>
  <c r="AX14" i="2" s="1"/>
  <c r="BA51" i="16"/>
  <c r="V10" i="2"/>
  <c r="W10" i="2" s="1"/>
  <c r="AD38" i="2"/>
  <c r="AE38" i="2" s="1"/>
  <c r="BC23" i="2"/>
  <c r="BD23" i="2" s="1"/>
  <c r="AD9" i="2"/>
  <c r="AE9" i="2" s="1"/>
  <c r="AA26" i="8"/>
  <c r="AD37" i="8"/>
  <c r="AE37" i="8" s="1"/>
  <c r="AX46" i="16"/>
  <c r="AY46" i="16" s="1"/>
  <c r="BD44" i="16"/>
  <c r="BE44" i="16" s="1"/>
  <c r="BA8" i="8"/>
  <c r="BB8" i="8" s="1"/>
  <c r="T47" i="8"/>
  <c r="BA46" i="16"/>
  <c r="BA44" i="16"/>
  <c r="BC47" i="2"/>
  <c r="BD47" i="2" s="1"/>
  <c r="AZ16" i="8"/>
  <c r="BA37" i="8"/>
  <c r="BB37" i="8" s="1"/>
  <c r="AZ8" i="8"/>
  <c r="BD7" i="16"/>
  <c r="BE7" i="16" s="1"/>
  <c r="AW41" i="2"/>
  <c r="AX41" i="2" s="1"/>
  <c r="AD6" i="2"/>
  <c r="AE6" i="2" s="1"/>
  <c r="V47" i="8"/>
  <c r="W47" i="8" s="1"/>
  <c r="AZ37" i="8"/>
  <c r="BD46" i="16"/>
  <c r="BE46" i="16" s="1"/>
  <c r="BA5" i="8"/>
  <c r="BB5" i="8" s="1"/>
  <c r="AD23" i="8"/>
  <c r="AE23" i="8" s="1"/>
  <c r="AW54" i="2"/>
  <c r="AX54" i="2" s="1"/>
  <c r="M149" i="3"/>
  <c r="AD24" i="8"/>
  <c r="AE24" i="8" s="1"/>
  <c r="Z6" i="2"/>
  <c r="AA6" i="2" s="1"/>
  <c r="Z37" i="8"/>
  <c r="V10" i="8"/>
  <c r="BA35" i="8"/>
  <c r="BB35" i="8" s="1"/>
  <c r="BC25" i="8"/>
  <c r="BD25" i="8" s="1"/>
  <c r="Z50" i="2"/>
  <c r="AA50" i="2" s="1"/>
  <c r="BC45" i="2"/>
  <c r="BD45" i="2" s="1"/>
  <c r="BD48" i="16"/>
  <c r="BE48" i="16" s="1"/>
  <c r="Z26" i="2"/>
  <c r="AA26" i="2" s="1"/>
  <c r="Z32" i="8"/>
  <c r="T32" i="2"/>
  <c r="AW35" i="8"/>
  <c r="AX35" i="8" s="1"/>
  <c r="T40" i="8"/>
  <c r="BA45" i="2"/>
  <c r="BB45" i="2" s="1"/>
  <c r="Z29" i="2"/>
  <c r="AA29" i="2" s="1"/>
  <c r="V54" i="2"/>
  <c r="BD51" i="16"/>
  <c r="BE51" i="16" s="1"/>
  <c r="AZ41" i="16"/>
  <c r="BA15" i="8"/>
  <c r="BB15" i="8" s="1"/>
  <c r="T15" i="2"/>
  <c r="AT41" i="9"/>
  <c r="AU41" i="9" s="1"/>
  <c r="V48" i="8"/>
  <c r="Z16" i="8"/>
  <c r="AZ49" i="16"/>
  <c r="BB51" i="16"/>
  <c r="BC51" i="16" s="1"/>
  <c r="BA26" i="16"/>
  <c r="AZ7" i="8"/>
  <c r="AD54" i="2"/>
  <c r="AE54" i="2" s="1"/>
  <c r="AW4" i="8"/>
  <c r="AX4" i="8" s="1"/>
  <c r="BB36" i="16"/>
  <c r="BC36" i="16" s="1"/>
  <c r="AD18" i="8"/>
  <c r="AW45" i="2"/>
  <c r="AX45" i="2" s="1"/>
  <c r="AW8" i="8"/>
  <c r="AX8" i="8" s="1"/>
  <c r="Z48" i="2"/>
  <c r="AA48" i="2" s="1"/>
  <c r="Z21" i="2"/>
  <c r="AA21" i="2" s="1"/>
  <c r="AD44" i="2"/>
  <c r="AE44" i="2" s="1"/>
  <c r="AD41" i="8"/>
  <c r="AE41" i="8" s="1"/>
  <c r="BD36" i="16"/>
  <c r="BE36" i="16" s="1"/>
  <c r="Z23" i="2"/>
  <c r="AA23" i="2" s="1"/>
  <c r="T45" i="2"/>
  <c r="Z21" i="8"/>
  <c r="AD10" i="8"/>
  <c r="AE10" i="8" s="1"/>
  <c r="BD26" i="16"/>
  <c r="BE26" i="16" s="1"/>
  <c r="AZ21" i="2"/>
  <c r="AD17" i="8"/>
  <c r="AE17" i="8" s="1"/>
  <c r="BC4" i="8"/>
  <c r="BD4" i="8" s="1"/>
  <c r="V33" i="8"/>
  <c r="W33" i="8" s="1"/>
  <c r="AD42" i="2"/>
  <c r="AE42" i="2" s="1"/>
  <c r="BA36" i="16"/>
  <c r="AD26" i="8"/>
  <c r="AX44" i="16"/>
  <c r="AY44" i="16" s="1"/>
  <c r="AZ5" i="8"/>
  <c r="Z27" i="8"/>
  <c r="AD5" i="2"/>
  <c r="AE5" i="2" s="1"/>
  <c r="Z44" i="2"/>
  <c r="AA44" i="2" s="1"/>
  <c r="AD27" i="8"/>
  <c r="AE27" i="8" s="1"/>
  <c r="Z19" i="8"/>
  <c r="AD32" i="8"/>
  <c r="AE32" i="8" s="1"/>
  <c r="AZ17" i="2"/>
  <c r="AW27" i="8"/>
  <c r="AX27" i="8" s="1"/>
  <c r="W22" i="9"/>
  <c r="X22" i="9" s="1"/>
  <c r="Z31" i="8"/>
  <c r="Z23" i="8"/>
  <c r="AD48" i="2"/>
  <c r="AE48" i="2" s="1"/>
  <c r="Z34" i="2"/>
  <c r="AA34" i="2" s="1"/>
  <c r="Z15" i="2"/>
  <c r="AA15" i="2" s="1"/>
  <c r="AW21" i="2"/>
  <c r="AX21" i="2" s="1"/>
  <c r="BC17" i="2"/>
  <c r="BD17" i="2" s="1"/>
  <c r="BA41" i="16"/>
  <c r="BC35" i="8"/>
  <c r="BD35" i="8" s="1"/>
  <c r="BB44" i="16"/>
  <c r="BC44" i="16" s="1"/>
  <c r="BA27" i="8"/>
  <c r="BB27" i="8" s="1"/>
  <c r="AZ43" i="8"/>
  <c r="V8" i="2"/>
  <c r="W8" i="2" s="1"/>
  <c r="BA54" i="2"/>
  <c r="BB54" i="2" s="1"/>
  <c r="BC38" i="8"/>
  <c r="BD38" i="8" s="1"/>
  <c r="AX7" i="16"/>
  <c r="AY7" i="16" s="1"/>
  <c r="AW20" i="2"/>
  <c r="AX20" i="2" s="1"/>
  <c r="Z43" i="2"/>
  <c r="AA43" i="2" s="1"/>
  <c r="V15" i="8"/>
  <c r="Z11" i="8"/>
  <c r="AD10" i="2"/>
  <c r="AE10" i="2" s="1"/>
  <c r="Z5" i="8"/>
  <c r="AX41" i="16"/>
  <c r="AY41" i="16" s="1"/>
  <c r="Z51" i="2"/>
  <c r="AA51" i="2" s="1"/>
  <c r="BC43" i="8"/>
  <c r="BD43" i="8" s="1"/>
  <c r="BA38" i="8"/>
  <c r="BB38" i="8" s="1"/>
  <c r="BA20" i="2"/>
  <c r="BB20" i="2" s="1"/>
  <c r="T30" i="8"/>
  <c r="AD28" i="2"/>
  <c r="AE28" i="2" s="1"/>
  <c r="AD6" i="8"/>
  <c r="AE6" i="8" s="1"/>
  <c r="T31" i="8"/>
  <c r="BA7" i="16"/>
  <c r="Z15" i="8"/>
  <c r="AZ24" i="16"/>
  <c r="BA16" i="8"/>
  <c r="BB16" i="8" s="1"/>
  <c r="T53" i="2"/>
  <c r="AR41" i="9"/>
  <c r="AS41" i="9" s="1"/>
  <c r="V17" i="2"/>
  <c r="W17" i="2" s="1"/>
  <c r="V48" i="2"/>
  <c r="W48" i="2" s="1"/>
  <c r="BB26" i="16"/>
  <c r="BC26" i="16" s="1"/>
  <c r="AD7" i="8"/>
  <c r="AE7" i="8" s="1"/>
  <c r="BC43" i="2"/>
  <c r="BD43" i="2" s="1"/>
  <c r="AZ26" i="8"/>
  <c r="Z52" i="2"/>
  <c r="AA52" i="2" s="1"/>
  <c r="BD24" i="16"/>
  <c r="BE24" i="16" s="1"/>
  <c r="BC16" i="8"/>
  <c r="BD16" i="8" s="1"/>
  <c r="BA23" i="2"/>
  <c r="BB23" i="2" s="1"/>
  <c r="Z7" i="2"/>
  <c r="AA7" i="2" s="1"/>
  <c r="T41" i="8"/>
  <c r="AD7" i="2"/>
  <c r="AE7" i="2" s="1"/>
  <c r="V37" i="8"/>
  <c r="AZ43" i="2"/>
  <c r="W29" i="9"/>
  <c r="X29" i="9" s="1"/>
  <c r="V44" i="2"/>
  <c r="W44" i="2" s="1"/>
  <c r="V22" i="8"/>
  <c r="AD11" i="8"/>
  <c r="AE11" i="8" s="1"/>
  <c r="AD44" i="8"/>
  <c r="AE44" i="8" s="1"/>
  <c r="AZ26" i="16"/>
  <c r="V29" i="8"/>
  <c r="BC5" i="8"/>
  <c r="BD5" i="8" s="1"/>
  <c r="AD11" i="2"/>
  <c r="AE11" i="2" s="1"/>
  <c r="AD48" i="8"/>
  <c r="AE48" i="8" s="1"/>
  <c r="T16" i="2"/>
  <c r="AZ13" i="8"/>
  <c r="AQ41" i="9"/>
  <c r="T13" i="2"/>
  <c r="W14" i="9"/>
  <c r="X14" i="9" s="1"/>
  <c r="W11" i="9"/>
  <c r="X11" i="9" s="1"/>
  <c r="AZ27" i="8"/>
  <c r="T53" i="8"/>
  <c r="AX24" i="16"/>
  <c r="AY24" i="16" s="1"/>
  <c r="AD34" i="8"/>
  <c r="M148" i="3"/>
  <c r="AZ27" i="16"/>
  <c r="BA13" i="8"/>
  <c r="BB13" i="8" s="1"/>
  <c r="AZ21" i="8"/>
  <c r="AD23" i="2"/>
  <c r="AE23" i="2" s="1"/>
  <c r="AD12" i="8"/>
  <c r="AE12" i="8" s="1"/>
  <c r="Z51" i="8"/>
  <c r="BB27" i="16"/>
  <c r="BC27" i="16" s="1"/>
  <c r="BA21" i="8"/>
  <c r="BB21" i="8" s="1"/>
  <c r="T37" i="2"/>
  <c r="AD52" i="2"/>
  <c r="AE52" i="2" s="1"/>
  <c r="AD36" i="2"/>
  <c r="AE36" i="2" s="1"/>
  <c r="AD45" i="8"/>
  <c r="AE45" i="8" s="1"/>
  <c r="AD9" i="8"/>
  <c r="AE9" i="8" s="1"/>
  <c r="T44" i="8"/>
  <c r="AB26" i="16"/>
  <c r="T21" i="8"/>
  <c r="W30" i="9"/>
  <c r="X30" i="9" s="1"/>
  <c r="T34" i="2"/>
  <c r="V36" i="8"/>
  <c r="Z11" i="2"/>
  <c r="AA11" i="2" s="1"/>
  <c r="T35" i="8"/>
  <c r="Z35" i="8"/>
  <c r="AW7" i="8"/>
  <c r="AX7" i="8" s="1"/>
  <c r="T51" i="8"/>
  <c r="AZ48" i="16"/>
  <c r="BB7" i="16"/>
  <c r="BC7" i="16" s="1"/>
  <c r="AZ20" i="2"/>
  <c r="Z24" i="8"/>
  <c r="V21" i="8"/>
  <c r="W21" i="8" s="1"/>
  <c r="Z13" i="8"/>
  <c r="Z7" i="8"/>
  <c r="AD8" i="2"/>
  <c r="AE8" i="2" s="1"/>
  <c r="BA48" i="16"/>
  <c r="T19" i="8"/>
  <c r="T9" i="8"/>
  <c r="V31" i="8"/>
  <c r="W31" i="8" s="1"/>
  <c r="AD51" i="8"/>
  <c r="AE51" i="8" s="1"/>
  <c r="BC7" i="8"/>
  <c r="BD7" i="8" s="1"/>
  <c r="AD25" i="2"/>
  <c r="AE25" i="2" s="1"/>
  <c r="AD46" i="8"/>
  <c r="AE46" i="8" s="1"/>
  <c r="Z36" i="2"/>
  <c r="AA36" i="2" s="1"/>
  <c r="V39" i="2"/>
  <c r="V5" i="8"/>
  <c r="W5" i="8" s="1"/>
  <c r="AD40" i="8"/>
  <c r="AE40" i="8" s="1"/>
  <c r="W32" i="9"/>
  <c r="X32" i="9" s="1"/>
  <c r="V28" i="8"/>
  <c r="Z34" i="8"/>
  <c r="Z53" i="8"/>
  <c r="BC15" i="8"/>
  <c r="BD15" i="8" s="1"/>
  <c r="AD37" i="2"/>
  <c r="AE37" i="2" s="1"/>
  <c r="AW15" i="8"/>
  <c r="AX15" i="8" s="1"/>
  <c r="T46" i="8"/>
  <c r="T52" i="8"/>
  <c r="T46" i="2"/>
  <c r="V6" i="8"/>
  <c r="W6" i="8" s="1"/>
  <c r="AA24" i="8"/>
  <c r="Z25" i="2"/>
  <c r="AA25" i="2" s="1"/>
  <c r="V35" i="8"/>
  <c r="W35" i="8" s="1"/>
  <c r="Z53" i="2"/>
  <c r="AA53" i="2" s="1"/>
  <c r="AB39" i="16"/>
  <c r="AB5" i="16"/>
  <c r="AB29" i="16"/>
  <c r="AB23" i="16"/>
  <c r="AB51" i="16"/>
  <c r="AB12" i="16"/>
  <c r="AB33" i="16"/>
  <c r="AB21" i="16"/>
  <c r="AB52" i="16"/>
  <c r="AB46" i="16"/>
  <c r="AB47" i="16"/>
  <c r="AB8" i="16"/>
  <c r="AE16" i="8"/>
  <c r="V11" i="8"/>
  <c r="V13" i="8"/>
  <c r="AB38" i="16"/>
  <c r="BA51" i="2"/>
  <c r="BB51" i="2" s="1"/>
  <c r="BC51" i="2"/>
  <c r="BD51" i="2" s="1"/>
  <c r="AZ51" i="2"/>
  <c r="AW51" i="2"/>
  <c r="AX51" i="2" s="1"/>
  <c r="AW52" i="2"/>
  <c r="AX52" i="2" s="1"/>
  <c r="AZ52" i="2"/>
  <c r="BC52" i="2"/>
  <c r="BD52" i="2" s="1"/>
  <c r="BA52" i="2"/>
  <c r="BB52" i="2" s="1"/>
  <c r="V50" i="8"/>
  <c r="AW52" i="8"/>
  <c r="AX52" i="8" s="1"/>
  <c r="BC52" i="8"/>
  <c r="BD52" i="8" s="1"/>
  <c r="AZ52" i="8"/>
  <c r="BA52" i="8"/>
  <c r="BB52" i="8" s="1"/>
  <c r="V32" i="8"/>
  <c r="AB40" i="16"/>
  <c r="AB24" i="16"/>
  <c r="O4" i="8"/>
  <c r="P4" i="8"/>
  <c r="N4" i="8"/>
  <c r="AA40" i="8"/>
  <c r="Z40" i="8"/>
  <c r="V17" i="8"/>
  <c r="T28" i="2"/>
  <c r="V28" i="2"/>
  <c r="W28" i="2" s="1"/>
  <c r="BA29" i="16"/>
  <c r="BD29" i="16"/>
  <c r="BE29" i="16" s="1"/>
  <c r="BB29" i="16"/>
  <c r="BC29" i="16" s="1"/>
  <c r="AZ29" i="16"/>
  <c r="AX29" i="16"/>
  <c r="AY29" i="16" s="1"/>
  <c r="V14" i="8"/>
  <c r="AT40" i="9"/>
  <c r="AU40" i="9" s="1"/>
  <c r="AN40" i="9"/>
  <c r="AO40" i="9" s="1"/>
  <c r="AR40" i="9"/>
  <c r="AS40" i="9" s="1"/>
  <c r="V45" i="8"/>
  <c r="T4" i="8"/>
  <c r="BM11" i="2"/>
  <c r="BM7" i="2"/>
  <c r="BM30" i="2"/>
  <c r="BM31" i="2"/>
  <c r="BM26" i="2"/>
  <c r="BM27" i="2"/>
  <c r="BM32" i="2"/>
  <c r="BM22" i="2"/>
  <c r="BM23" i="2"/>
  <c r="BM28" i="2"/>
  <c r="BM29" i="2"/>
  <c r="BM14" i="2"/>
  <c r="BM15" i="2"/>
  <c r="BM20" i="2"/>
  <c r="BM21" i="2"/>
  <c r="BM16" i="2"/>
  <c r="BM17" i="2"/>
  <c r="BM5" i="2"/>
  <c r="BM12" i="2"/>
  <c r="BM13" i="2"/>
  <c r="BM41" i="2"/>
  <c r="BM6" i="2"/>
  <c r="BM8" i="2"/>
  <c r="BM36" i="2"/>
  <c r="BM39" i="2"/>
  <c r="BM46" i="2"/>
  <c r="BM47" i="2"/>
  <c r="BM52" i="2"/>
  <c r="BM53" i="2"/>
  <c r="BM4" i="2"/>
  <c r="BM10" i="2"/>
  <c r="BM35" i="2"/>
  <c r="BM42" i="2"/>
  <c r="BM43" i="2"/>
  <c r="BM48" i="2"/>
  <c r="BM49" i="2"/>
  <c r="BM33" i="2"/>
  <c r="BM9" i="2"/>
  <c r="BM51" i="2"/>
  <c r="BM45" i="2"/>
  <c r="BM18" i="2"/>
  <c r="BM37" i="2"/>
  <c r="BM54" i="2"/>
  <c r="BM50" i="2"/>
  <c r="BM24" i="2"/>
  <c r="BM44" i="2"/>
  <c r="BM19" i="2"/>
  <c r="BM34" i="2"/>
  <c r="BM25" i="2"/>
  <c r="BM40" i="2"/>
  <c r="BM38" i="2"/>
  <c r="AE35" i="8"/>
  <c r="AA12" i="8"/>
  <c r="Z12" i="8"/>
  <c r="T31" i="2"/>
  <c r="V31" i="2"/>
  <c r="W31" i="2" s="1"/>
  <c r="V23" i="2"/>
  <c r="W23" i="2" s="1"/>
  <c r="T23" i="2"/>
  <c r="AB6" i="16"/>
  <c r="AA41" i="8"/>
  <c r="Z41" i="8"/>
  <c r="V12" i="2"/>
  <c r="W12" i="2" s="1"/>
  <c r="T12" i="2"/>
  <c r="T16" i="8"/>
  <c r="AB16" i="16"/>
  <c r="BA13" i="16"/>
  <c r="BD13" i="16"/>
  <c r="BE13" i="16" s="1"/>
  <c r="BB13" i="16"/>
  <c r="BC13" i="16" s="1"/>
  <c r="AZ13" i="16"/>
  <c r="AX13" i="16"/>
  <c r="AY13" i="16" s="1"/>
  <c r="AW32" i="2"/>
  <c r="AX32" i="2" s="1"/>
  <c r="AZ32" i="2"/>
  <c r="BC32" i="2"/>
  <c r="BD32" i="2" s="1"/>
  <c r="BA32" i="2"/>
  <c r="BB32" i="2" s="1"/>
  <c r="BA19" i="8"/>
  <c r="BB19" i="8" s="1"/>
  <c r="AZ19" i="8"/>
  <c r="BC19" i="8"/>
  <c r="BD19" i="8" s="1"/>
  <c r="AW19" i="8"/>
  <c r="AX19" i="8" s="1"/>
  <c r="T32" i="8"/>
  <c r="AZ18" i="2"/>
  <c r="BC18" i="2"/>
  <c r="BD18" i="2" s="1"/>
  <c r="BA18" i="2"/>
  <c r="BB18" i="2" s="1"/>
  <c r="AW18" i="2"/>
  <c r="AX18" i="2" s="1"/>
  <c r="T51" i="2"/>
  <c r="V51" i="2"/>
  <c r="W51" i="2" s="1"/>
  <c r="V52" i="2"/>
  <c r="W52" i="2" s="1"/>
  <c r="T52" i="2"/>
  <c r="V9" i="8"/>
  <c r="W9" i="8" s="1"/>
  <c r="Z9" i="8"/>
  <c r="T39" i="8"/>
  <c r="V53" i="8"/>
  <c r="AW8" i="2"/>
  <c r="AX8" i="2" s="1"/>
  <c r="AZ8" i="2"/>
  <c r="BA8" i="2"/>
  <c r="BB8" i="2" s="1"/>
  <c r="BC8" i="2"/>
  <c r="BD8" i="2" s="1"/>
  <c r="AW48" i="8"/>
  <c r="AX48" i="8" s="1"/>
  <c r="BA48" i="8"/>
  <c r="BB48" i="8" s="1"/>
  <c r="BC48" i="8"/>
  <c r="BD48" i="8" s="1"/>
  <c r="AZ48" i="8"/>
  <c r="AW16" i="2"/>
  <c r="AX16" i="2" s="1"/>
  <c r="BC16" i="2"/>
  <c r="BD16" i="2" s="1"/>
  <c r="BA16" i="2"/>
  <c r="BB16" i="2" s="1"/>
  <c r="AZ16" i="2"/>
  <c r="BB45" i="16"/>
  <c r="BC45" i="16" s="1"/>
  <c r="AZ45" i="16"/>
  <c r="BA45" i="16"/>
  <c r="BD45" i="16"/>
  <c r="BE45" i="16" s="1"/>
  <c r="AX45" i="16"/>
  <c r="AY45" i="16" s="1"/>
  <c r="V9" i="2"/>
  <c r="W9" i="2" s="1"/>
  <c r="T9" i="2"/>
  <c r="AW13" i="2"/>
  <c r="AX13" i="2" s="1"/>
  <c r="BA13" i="2"/>
  <c r="BB13" i="2" s="1"/>
  <c r="BC13" i="2"/>
  <c r="BD13" i="2" s="1"/>
  <c r="AZ13" i="2"/>
  <c r="T14" i="2"/>
  <c r="V14" i="2"/>
  <c r="W14" i="2" s="1"/>
  <c r="AZ33" i="16"/>
  <c r="BD33" i="16"/>
  <c r="BE33" i="16" s="1"/>
  <c r="BA33" i="16"/>
  <c r="BB33" i="16"/>
  <c r="BC33" i="16" s="1"/>
  <c r="AX33" i="16"/>
  <c r="AY33" i="16" s="1"/>
  <c r="B27" i="8"/>
  <c r="T5" i="2"/>
  <c r="V5" i="2"/>
  <c r="W5" i="2" s="1"/>
  <c r="BC34" i="8"/>
  <c r="BD34" i="8" s="1"/>
  <c r="AZ34" i="8"/>
  <c r="BA34" i="8"/>
  <c r="BB34" i="8" s="1"/>
  <c r="AW34" i="8"/>
  <c r="AX34" i="8" s="1"/>
  <c r="AW28" i="8"/>
  <c r="AX28" i="8" s="1"/>
  <c r="BC28" i="8"/>
  <c r="BD28" i="8" s="1"/>
  <c r="BA28" i="8"/>
  <c r="BB28" i="8" s="1"/>
  <c r="AZ28" i="8"/>
  <c r="Z43" i="8"/>
  <c r="AD16" i="2"/>
  <c r="Z52" i="8"/>
  <c r="AA52" i="8"/>
  <c r="BA39" i="2"/>
  <c r="BB39" i="2" s="1"/>
  <c r="BC39" i="2"/>
  <c r="BD39" i="2" s="1"/>
  <c r="AZ39" i="2"/>
  <c r="AW39" i="2"/>
  <c r="AX39" i="2" s="1"/>
  <c r="BD14" i="16"/>
  <c r="BE14" i="16" s="1"/>
  <c r="BB14" i="16"/>
  <c r="BC14" i="16" s="1"/>
  <c r="BA14" i="16"/>
  <c r="AZ14" i="16"/>
  <c r="AX14" i="16"/>
  <c r="AY14" i="16" s="1"/>
  <c r="T26" i="8"/>
  <c r="T6" i="8"/>
  <c r="V4" i="8"/>
  <c r="V49" i="8"/>
  <c r="Z14" i="8"/>
  <c r="T6" i="2"/>
  <c r="V6" i="2"/>
  <c r="W6" i="2" s="1"/>
  <c r="V30" i="8"/>
  <c r="AD54" i="8"/>
  <c r="AW24" i="8"/>
  <c r="AX24" i="8" s="1"/>
  <c r="BA24" i="8"/>
  <c r="BB24" i="8" s="1"/>
  <c r="BC24" i="8"/>
  <c r="BD24" i="8" s="1"/>
  <c r="AZ24" i="8"/>
  <c r="T22" i="2"/>
  <c r="V22" i="2"/>
  <c r="W22" i="2" s="1"/>
  <c r="AD21" i="8"/>
  <c r="Z18" i="8"/>
  <c r="V18" i="8"/>
  <c r="Z45" i="8"/>
  <c r="AA45" i="8"/>
  <c r="Z32" i="2"/>
  <c r="AW9" i="8"/>
  <c r="AX9" i="8" s="1"/>
  <c r="AZ9" i="8"/>
  <c r="BA9" i="8"/>
  <c r="BB9" i="8" s="1"/>
  <c r="BC9" i="8"/>
  <c r="BD9" i="8" s="1"/>
  <c r="AD26" i="2"/>
  <c r="AE26" i="2" s="1"/>
  <c r="AE14" i="8"/>
  <c r="AB17" i="16"/>
  <c r="V18" i="2"/>
  <c r="W18" i="2" s="1"/>
  <c r="T18" i="2"/>
  <c r="BA11" i="2"/>
  <c r="BB11" i="2" s="1"/>
  <c r="AZ11" i="2"/>
  <c r="BC11" i="2"/>
  <c r="BD11" i="2" s="1"/>
  <c r="AW11" i="2"/>
  <c r="AX11" i="2" s="1"/>
  <c r="BK6" i="2"/>
  <c r="BK7" i="2"/>
  <c r="BK8" i="2"/>
  <c r="BK9" i="2"/>
  <c r="BK10" i="2"/>
  <c r="BK13" i="2"/>
  <c r="BK14" i="2"/>
  <c r="BK17" i="2"/>
  <c r="BK18" i="2"/>
  <c r="BK21" i="2"/>
  <c r="BK22" i="2"/>
  <c r="BK25" i="2"/>
  <c r="BK26" i="2"/>
  <c r="BK29" i="2"/>
  <c r="BK30" i="2"/>
  <c r="BK33" i="2"/>
  <c r="BK34" i="2"/>
  <c r="BK37" i="2"/>
  <c r="BK38" i="2"/>
  <c r="BK41" i="2"/>
  <c r="BK42" i="2"/>
  <c r="BK23" i="2"/>
  <c r="BK28" i="2"/>
  <c r="BK19" i="2"/>
  <c r="BK24" i="2"/>
  <c r="BK15" i="2"/>
  <c r="BK20" i="2"/>
  <c r="BK12" i="2"/>
  <c r="BK39" i="2"/>
  <c r="BK5" i="2"/>
  <c r="BK40" i="2"/>
  <c r="BK51" i="2"/>
  <c r="BK54" i="2"/>
  <c r="BK44" i="2"/>
  <c r="BK49" i="2"/>
  <c r="BK31" i="2"/>
  <c r="BK45" i="2"/>
  <c r="BK27" i="2"/>
  <c r="BK32" i="2"/>
  <c r="BK35" i="2"/>
  <c r="BK46" i="2"/>
  <c r="BK53" i="2"/>
  <c r="BK16" i="2"/>
  <c r="BK36" i="2"/>
  <c r="BK47" i="2"/>
  <c r="BK50" i="2"/>
  <c r="BK52" i="2"/>
  <c r="BK43" i="2"/>
  <c r="BK48" i="2"/>
  <c r="BK11" i="2"/>
  <c r="BK4" i="2"/>
  <c r="T19" i="2"/>
  <c r="V19" i="2"/>
  <c r="W19" i="2" s="1"/>
  <c r="T7" i="8"/>
  <c r="AB31" i="16"/>
  <c r="AE13" i="8"/>
  <c r="T49" i="8"/>
  <c r="AE19" i="8"/>
  <c r="AD53" i="8"/>
  <c r="T50" i="8"/>
  <c r="T11" i="2"/>
  <c r="W40" i="9"/>
  <c r="X40" i="9" s="1"/>
  <c r="V12" i="8"/>
  <c r="AE31" i="8"/>
  <c r="BO9" i="2"/>
  <c r="BO10" i="2"/>
  <c r="BO11" i="2"/>
  <c r="BO6" i="2"/>
  <c r="BO7" i="2"/>
  <c r="BO13" i="2"/>
  <c r="BO30" i="2"/>
  <c r="BO31" i="2"/>
  <c r="BO32" i="2"/>
  <c r="BO22" i="2"/>
  <c r="BO23" i="2"/>
  <c r="BO24" i="2"/>
  <c r="BO29" i="2"/>
  <c r="BO44" i="2"/>
  <c r="BO48" i="2"/>
  <c r="BO52" i="2"/>
  <c r="BO18" i="2"/>
  <c r="BO19" i="2"/>
  <c r="BO20" i="2"/>
  <c r="BO25" i="2"/>
  <c r="BO38" i="2"/>
  <c r="BO45" i="2"/>
  <c r="BO14" i="2"/>
  <c r="BO15" i="2"/>
  <c r="BO16" i="2"/>
  <c r="BO21" i="2"/>
  <c r="BO34" i="2"/>
  <c r="BO37" i="2"/>
  <c r="BO40" i="2"/>
  <c r="BO54" i="2"/>
  <c r="BO8" i="2"/>
  <c r="BO33" i="2"/>
  <c r="BO36" i="2"/>
  <c r="BO50" i="2"/>
  <c r="BO51" i="2"/>
  <c r="BO12" i="2"/>
  <c r="BO47" i="2"/>
  <c r="BO26" i="2"/>
  <c r="BO46" i="2"/>
  <c r="BO53" i="2"/>
  <c r="BO5" i="2"/>
  <c r="BO27" i="2"/>
  <c r="BO35" i="2"/>
  <c r="BO42" i="2"/>
  <c r="BO43" i="2"/>
  <c r="BO49" i="2"/>
  <c r="BO41" i="2"/>
  <c r="BO17" i="2"/>
  <c r="BO28" i="2"/>
  <c r="BO39" i="2"/>
  <c r="BO4" i="2"/>
  <c r="AB20" i="16"/>
  <c r="V44" i="8"/>
  <c r="V7" i="2"/>
  <c r="W7" i="2" s="1"/>
  <c r="T7" i="2"/>
  <c r="V43" i="2"/>
  <c r="W43" i="2" s="1"/>
  <c r="T43" i="2"/>
  <c r="Z44" i="8"/>
  <c r="T49" i="2"/>
  <c r="V49" i="2"/>
  <c r="W49" i="2" s="1"/>
  <c r="V25" i="2"/>
  <c r="W25" i="2" s="1"/>
  <c r="T25" i="2"/>
  <c r="Z13" i="2"/>
  <c r="AA13" i="2" s="1"/>
  <c r="AW28" i="2"/>
  <c r="AX28" i="2" s="1"/>
  <c r="AZ28" i="2"/>
  <c r="BA28" i="2"/>
  <c r="BB28" i="2" s="1"/>
  <c r="BC28" i="2"/>
  <c r="BD28" i="2" s="1"/>
  <c r="AB13" i="16"/>
  <c r="V47" i="2"/>
  <c r="W47" i="2" s="1"/>
  <c r="V46" i="8"/>
  <c r="V43" i="8"/>
  <c r="BB22" i="16"/>
  <c r="BC22" i="16" s="1"/>
  <c r="AZ22" i="16"/>
  <c r="BA22" i="16"/>
  <c r="BD22" i="16"/>
  <c r="BE22" i="16" s="1"/>
  <c r="AX22" i="16"/>
  <c r="AY22" i="16" s="1"/>
  <c r="V38" i="8"/>
  <c r="BB52" i="16"/>
  <c r="BC52" i="16" s="1"/>
  <c r="BD52" i="16"/>
  <c r="BE52" i="16" s="1"/>
  <c r="BA52" i="16"/>
  <c r="AZ52" i="16"/>
  <c r="AX52" i="16"/>
  <c r="AY52" i="16" s="1"/>
  <c r="V23" i="8"/>
  <c r="T12" i="8"/>
  <c r="AA48" i="8"/>
  <c r="Z48" i="8"/>
  <c r="T14" i="8"/>
  <c r="T45" i="8"/>
  <c r="AE29" i="8"/>
  <c r="AB15" i="16"/>
  <c r="AB9" i="16"/>
  <c r="V19" i="8"/>
  <c r="V34" i="8"/>
  <c r="W34" i="8" s="1"/>
  <c r="V29" i="2"/>
  <c r="W29" i="2" s="1"/>
  <c r="T29" i="2"/>
  <c r="V27" i="2"/>
  <c r="W27" i="2" s="1"/>
  <c r="T27" i="2"/>
  <c r="T20" i="2"/>
  <c r="V20" i="2"/>
  <c r="W20" i="2" s="1"/>
  <c r="BB8" i="16"/>
  <c r="BC8" i="16" s="1"/>
  <c r="BA8" i="16"/>
  <c r="BD8" i="16"/>
  <c r="BE8" i="16" s="1"/>
  <c r="AZ8" i="16"/>
  <c r="AX8" i="16"/>
  <c r="AY8" i="16" s="1"/>
  <c r="V50" i="2"/>
  <c r="W50" i="2" s="1"/>
  <c r="Z49" i="8"/>
  <c r="AZ14" i="8"/>
  <c r="BA14" i="8"/>
  <c r="BB14" i="8" s="1"/>
  <c r="BC14" i="8"/>
  <c r="BD14" i="8" s="1"/>
  <c r="AW14" i="8"/>
  <c r="AX14" i="8" s="1"/>
  <c r="T11" i="8"/>
  <c r="T18" i="8"/>
  <c r="T13" i="8"/>
  <c r="V40" i="8"/>
  <c r="V7" i="8"/>
  <c r="BQ5" i="2"/>
  <c r="BQ9" i="2"/>
  <c r="BQ10" i="2"/>
  <c r="BQ11" i="2"/>
  <c r="BQ15" i="2"/>
  <c r="BQ19" i="2"/>
  <c r="BQ23" i="2"/>
  <c r="BQ27" i="2"/>
  <c r="BQ31" i="2"/>
  <c r="BQ35" i="2"/>
  <c r="BQ39" i="2"/>
  <c r="BQ8" i="2"/>
  <c r="BQ14" i="2"/>
  <c r="BQ16" i="2"/>
  <c r="BQ21" i="2"/>
  <c r="BQ12" i="2"/>
  <c r="BQ17" i="2"/>
  <c r="BQ13" i="2"/>
  <c r="BQ30" i="2"/>
  <c r="BQ32" i="2"/>
  <c r="BQ37" i="2"/>
  <c r="BQ4" i="2"/>
  <c r="BQ26" i="2"/>
  <c r="BQ28" i="2"/>
  <c r="BQ46" i="2"/>
  <c r="BQ47" i="2"/>
  <c r="BQ48" i="2"/>
  <c r="BQ53" i="2"/>
  <c r="BQ22" i="2"/>
  <c r="BQ24" i="2"/>
  <c r="BQ29" i="2"/>
  <c r="BQ42" i="2"/>
  <c r="BQ43" i="2"/>
  <c r="BQ44" i="2"/>
  <c r="BQ49" i="2"/>
  <c r="BQ6" i="2"/>
  <c r="BQ41" i="2"/>
  <c r="BQ33" i="2"/>
  <c r="BQ20" i="2"/>
  <c r="BQ54" i="2"/>
  <c r="BQ38" i="2"/>
  <c r="BQ18" i="2"/>
  <c r="BQ36" i="2"/>
  <c r="BQ50" i="2"/>
  <c r="BQ51" i="2"/>
  <c r="BQ52" i="2"/>
  <c r="BQ34" i="2"/>
  <c r="BQ7" i="2"/>
  <c r="BQ45" i="2"/>
  <c r="BQ25" i="2"/>
  <c r="BQ40" i="2"/>
  <c r="V35" i="2"/>
  <c r="W35" i="2" s="1"/>
  <c r="T35" i="2"/>
  <c r="Z10" i="8"/>
  <c r="AA10" i="8"/>
  <c r="T30" i="2"/>
  <c r="V30" i="2"/>
  <c r="W30" i="2" s="1"/>
  <c r="AW33" i="8"/>
  <c r="AX33" i="8" s="1"/>
  <c r="BC33" i="8"/>
  <c r="BD33" i="8" s="1"/>
  <c r="AZ33" i="8"/>
  <c r="BA33" i="8"/>
  <c r="BB33" i="8" s="1"/>
  <c r="AB30" i="16"/>
  <c r="BA43" i="16"/>
  <c r="BB43" i="16"/>
  <c r="BC43" i="16" s="1"/>
  <c r="AZ43" i="16"/>
  <c r="BD43" i="16"/>
  <c r="BE43" i="16" s="1"/>
  <c r="AX43" i="16"/>
  <c r="AY43" i="16" s="1"/>
  <c r="Z17" i="8"/>
  <c r="AA17" i="8"/>
  <c r="V42" i="8"/>
  <c r="T17" i="8"/>
  <c r="T38" i="2"/>
  <c r="V38" i="2"/>
  <c r="W38" i="2" s="1"/>
  <c r="BB31" i="16"/>
  <c r="BC31" i="16" s="1"/>
  <c r="AZ31" i="16"/>
  <c r="BD31" i="16"/>
  <c r="BE31" i="16" s="1"/>
  <c r="BA31" i="16"/>
  <c r="AX31" i="16"/>
  <c r="AY31" i="16" s="1"/>
  <c r="V36" i="2"/>
  <c r="W36" i="2" s="1"/>
  <c r="AZ18" i="8"/>
  <c r="BC18" i="8"/>
  <c r="BD18" i="8" s="1"/>
  <c r="BA18" i="8"/>
  <c r="BB18" i="8" s="1"/>
  <c r="AW18" i="8"/>
  <c r="AX18" i="8" s="1"/>
  <c r="T34" i="8"/>
  <c r="T28" i="8"/>
  <c r="AW53" i="8"/>
  <c r="AX53" i="8" s="1"/>
  <c r="BC53" i="8"/>
  <c r="BD53" i="8" s="1"/>
  <c r="AZ53" i="8"/>
  <c r="BA53" i="8"/>
  <c r="BB53" i="8" s="1"/>
  <c r="Z50" i="8"/>
  <c r="AA50" i="8"/>
  <c r="BA23" i="8"/>
  <c r="BB23" i="8" s="1"/>
  <c r="BC23" i="8"/>
  <c r="BD23" i="8" s="1"/>
  <c r="AZ23" i="8"/>
  <c r="AW23" i="8"/>
  <c r="AX23" i="8" s="1"/>
  <c r="AW29" i="8"/>
  <c r="AX29" i="8" s="1"/>
  <c r="AZ29" i="8"/>
  <c r="BC29" i="8"/>
  <c r="BD29" i="8" s="1"/>
  <c r="BA29" i="8"/>
  <c r="BB29" i="8" s="1"/>
  <c r="T15" i="8"/>
  <c r="Z30" i="8"/>
  <c r="AD52" i="8"/>
  <c r="Z22" i="8"/>
  <c r="BF8" i="9"/>
  <c r="BF12" i="9"/>
  <c r="BF16" i="9"/>
  <c r="BF20" i="9"/>
  <c r="BF24" i="9"/>
  <c r="BF28" i="9"/>
  <c r="BF32" i="9"/>
  <c r="BF36" i="9"/>
  <c r="BF40" i="9"/>
  <c r="BF7" i="9"/>
  <c r="BF11" i="9"/>
  <c r="BF15" i="9"/>
  <c r="BF19" i="9"/>
  <c r="BF23" i="9"/>
  <c r="BF27" i="9"/>
  <c r="BF31" i="9"/>
  <c r="BF35" i="9"/>
  <c r="BF39" i="9"/>
  <c r="BF6" i="9"/>
  <c r="BF14" i="9"/>
  <c r="BF22" i="9"/>
  <c r="BF30" i="9"/>
  <c r="BF38" i="9"/>
  <c r="BF43" i="9"/>
  <c r="BF46" i="9"/>
  <c r="BF5" i="9"/>
  <c r="BF13" i="9"/>
  <c r="BF21" i="9"/>
  <c r="BF29" i="9"/>
  <c r="BF37" i="9"/>
  <c r="BF54" i="9"/>
  <c r="BF44" i="9"/>
  <c r="BF47" i="9"/>
  <c r="BF50" i="9"/>
  <c r="BF9" i="9"/>
  <c r="BF17" i="9"/>
  <c r="BF25" i="9"/>
  <c r="BF33" i="9"/>
  <c r="BF41" i="9"/>
  <c r="BF45" i="9"/>
  <c r="BF42" i="9"/>
  <c r="BF52" i="9"/>
  <c r="BF4" i="9"/>
  <c r="BF49" i="9"/>
  <c r="BF53" i="9"/>
  <c r="BF10" i="9"/>
  <c r="BF18" i="9"/>
  <c r="BF34" i="9"/>
  <c r="BF26" i="9"/>
  <c r="BF48" i="9"/>
  <c r="BF51" i="9"/>
  <c r="BD7" i="9"/>
  <c r="BD11" i="9"/>
  <c r="BD15" i="9"/>
  <c r="BD19" i="9"/>
  <c r="BD23" i="9"/>
  <c r="BD27" i="9"/>
  <c r="BD31" i="9"/>
  <c r="BD35" i="9"/>
  <c r="BD39" i="9"/>
  <c r="BD6" i="9"/>
  <c r="BD10" i="9"/>
  <c r="BD14" i="9"/>
  <c r="BD18" i="9"/>
  <c r="BD22" i="9"/>
  <c r="BD26" i="9"/>
  <c r="BD30" i="9"/>
  <c r="BD34" i="9"/>
  <c r="BD38" i="9"/>
  <c r="BD5" i="9"/>
  <c r="BD13" i="9"/>
  <c r="BD21" i="9"/>
  <c r="BD29" i="9"/>
  <c r="BD37" i="9"/>
  <c r="BD47" i="9"/>
  <c r="BD50" i="9"/>
  <c r="BD17" i="9"/>
  <c r="BD12" i="9"/>
  <c r="BD20" i="9"/>
  <c r="BD28" i="9"/>
  <c r="BD36" i="9"/>
  <c r="BD44" i="9"/>
  <c r="BD53" i="9"/>
  <c r="BD9" i="9"/>
  <c r="BD51" i="9"/>
  <c r="BD8" i="9"/>
  <c r="BD16" i="9"/>
  <c r="BD24" i="9"/>
  <c r="BD32" i="9"/>
  <c r="BD40" i="9"/>
  <c r="BD52" i="9"/>
  <c r="BD43" i="9"/>
  <c r="BD46" i="9"/>
  <c r="BD49" i="9"/>
  <c r="BD54" i="9"/>
  <c r="BD4" i="9"/>
  <c r="BD48" i="9"/>
  <c r="BD25" i="9"/>
  <c r="BD45" i="9"/>
  <c r="BD41" i="9"/>
  <c r="BD33" i="9"/>
  <c r="BD42" i="9"/>
  <c r="BB6" i="9"/>
  <c r="BB10" i="9"/>
  <c r="BB14" i="9"/>
  <c r="BB18" i="9"/>
  <c r="BB22" i="9"/>
  <c r="BB26" i="9"/>
  <c r="BB30" i="9"/>
  <c r="BB34" i="9"/>
  <c r="BB38" i="9"/>
  <c r="BB5" i="9"/>
  <c r="BB9" i="9"/>
  <c r="BB13" i="9"/>
  <c r="BB17" i="9"/>
  <c r="BB21" i="9"/>
  <c r="BB25" i="9"/>
  <c r="BB29" i="9"/>
  <c r="BB33" i="9"/>
  <c r="BB37" i="9"/>
  <c r="BB41" i="9"/>
  <c r="BB12" i="9"/>
  <c r="BB20" i="9"/>
  <c r="BB28" i="9"/>
  <c r="BB36" i="9"/>
  <c r="BB44" i="9"/>
  <c r="BB4" i="9"/>
  <c r="BB51" i="9"/>
  <c r="BB11" i="9"/>
  <c r="BB19" i="9"/>
  <c r="BB27" i="9"/>
  <c r="BB35" i="9"/>
  <c r="BB42" i="9"/>
  <c r="BB45" i="9"/>
  <c r="BB48" i="9"/>
  <c r="BB8" i="9"/>
  <c r="BB16" i="9"/>
  <c r="BB7" i="9"/>
  <c r="BB15" i="9"/>
  <c r="BB23" i="9"/>
  <c r="BB31" i="9"/>
  <c r="BB39" i="9"/>
  <c r="BB43" i="9"/>
  <c r="BB54" i="9"/>
  <c r="BB50" i="9"/>
  <c r="BB47" i="9"/>
  <c r="BB53" i="9"/>
  <c r="BB49" i="9"/>
  <c r="BB46" i="9"/>
  <c r="BB40" i="9"/>
  <c r="BB32" i="9"/>
  <c r="BB24" i="9"/>
  <c r="BB52" i="9"/>
  <c r="M39" i="3"/>
  <c r="M40" i="3"/>
  <c r="M41" i="3"/>
  <c r="M42" i="3"/>
  <c r="Z40" i="2"/>
  <c r="AD40" i="2"/>
  <c r="AE40" i="2" s="1"/>
  <c r="T40" i="2"/>
  <c r="V40" i="2"/>
  <c r="B28" i="2"/>
  <c r="AA4" i="16"/>
  <c r="AB4" i="16" s="1"/>
  <c r="W4" i="16"/>
  <c r="M111" i="3"/>
  <c r="M112" i="3"/>
  <c r="M113" i="3"/>
  <c r="B28" i="16"/>
  <c r="B32" i="26" s="1"/>
  <c r="B27" i="16"/>
  <c r="B31" i="26" s="1"/>
  <c r="H12" i="16" s="1"/>
  <c r="I12" i="16" s="1"/>
  <c r="AN30" i="9"/>
  <c r="AO30" i="9" s="1"/>
  <c r="AQ30" i="9"/>
  <c r="AN5" i="9"/>
  <c r="AO5" i="9" s="1"/>
  <c r="AQ5" i="9"/>
  <c r="AT33" i="9"/>
  <c r="AU33" i="9" s="1"/>
  <c r="AT53" i="9"/>
  <c r="AU53" i="9" s="1"/>
  <c r="AQ53" i="9"/>
  <c r="AT5" i="9"/>
  <c r="AU5" i="9" s="1"/>
  <c r="AR53" i="9"/>
  <c r="AS53" i="9" s="1"/>
  <c r="AT30" i="9"/>
  <c r="AU30" i="9" s="1"/>
  <c r="AR33" i="9"/>
  <c r="AS33" i="9" s="1"/>
  <c r="AQ33" i="9"/>
  <c r="AQ14" i="9"/>
  <c r="AR14" i="9"/>
  <c r="AS14" i="9" s="1"/>
  <c r="AT14" i="9"/>
  <c r="AU14" i="9" s="1"/>
  <c r="N22" i="9"/>
  <c r="P21" i="9"/>
  <c r="N23" i="9"/>
  <c r="O37" i="9"/>
  <c r="N29" i="9"/>
  <c r="O32" i="9"/>
  <c r="O10" i="9"/>
  <c r="P5" i="9"/>
  <c r="U40" i="9"/>
  <c r="CS40" i="9" s="1"/>
  <c r="U29" i="9"/>
  <c r="CS29" i="9" s="1"/>
  <c r="P29" i="9"/>
  <c r="P47" i="9"/>
  <c r="O29" i="9"/>
  <c r="O47" i="9"/>
  <c r="P23" i="9"/>
  <c r="N40" i="9"/>
  <c r="N5" i="9"/>
  <c r="P40" i="9"/>
  <c r="O40" i="9"/>
  <c r="O5" i="9"/>
  <c r="N32" i="9"/>
  <c r="P32" i="9"/>
  <c r="U32" i="9"/>
  <c r="CS32" i="9" s="1"/>
  <c r="AT45" i="9"/>
  <c r="AU45" i="9" s="1"/>
  <c r="AN10" i="9"/>
  <c r="AO10" i="9" s="1"/>
  <c r="AT10" i="9"/>
  <c r="AU10" i="9" s="1"/>
  <c r="AS10" i="9"/>
  <c r="O23" i="9"/>
  <c r="U14" i="9"/>
  <c r="CS14" i="9" s="1"/>
  <c r="U11" i="9"/>
  <c r="CS11" i="9" s="1"/>
  <c r="N11" i="9"/>
  <c r="P11" i="9"/>
  <c r="U34" i="9"/>
  <c r="CS34" i="9" s="1"/>
  <c r="N37" i="9"/>
  <c r="O11" i="9"/>
  <c r="P34" i="9"/>
  <c r="O34" i="9"/>
  <c r="N34" i="9"/>
  <c r="P52" i="9"/>
  <c r="P37" i="9"/>
  <c r="N8" i="9"/>
  <c r="N21" i="9"/>
  <c r="O22" i="9"/>
  <c r="U22" i="9"/>
  <c r="CS22" i="9" s="1"/>
  <c r="P22" i="9"/>
  <c r="P10" i="9"/>
  <c r="AQ10" i="9"/>
  <c r="O21" i="9"/>
  <c r="N10" i="9"/>
  <c r="P30" i="9"/>
  <c r="N12" i="9"/>
  <c r="N30" i="9"/>
  <c r="O12" i="9"/>
  <c r="O30" i="9"/>
  <c r="P12" i="9"/>
  <c r="P6" i="9"/>
  <c r="N49" i="9"/>
  <c r="P49" i="9"/>
  <c r="O49" i="9"/>
  <c r="U30" i="9"/>
  <c r="CS30" i="9" s="1"/>
  <c r="O4" i="9" l="1"/>
  <c r="N9" i="9"/>
  <c r="N14" i="9"/>
  <c r="DG10" i="9"/>
  <c r="O8" i="9"/>
  <c r="O14" i="9"/>
  <c r="U38" i="9"/>
  <c r="CS38" i="9" s="1"/>
  <c r="U21" i="9"/>
  <c r="CS21" i="9" s="1"/>
  <c r="W8" i="9"/>
  <c r="X8" i="9" s="1"/>
  <c r="U10" i="9"/>
  <c r="CS10" i="9" s="1"/>
  <c r="P8" i="9"/>
  <c r="U35" i="9"/>
  <c r="CS35" i="9" s="1"/>
  <c r="P16" i="9"/>
  <c r="U5" i="9"/>
  <c r="CS5" i="9" s="1"/>
  <c r="W35" i="9"/>
  <c r="X35" i="9" s="1"/>
  <c r="DH56" i="9"/>
  <c r="DR56" i="9" s="1"/>
  <c r="P9" i="9"/>
  <c r="U8" i="9"/>
  <c r="CS8" i="9" s="1"/>
  <c r="P35" i="9"/>
  <c r="O16" i="9"/>
  <c r="W5" i="9"/>
  <c r="X5" i="9" s="1"/>
  <c r="W9" i="9"/>
  <c r="X9" i="9" s="1"/>
  <c r="DF45" i="9"/>
  <c r="AQ22" i="9"/>
  <c r="AT22" i="9"/>
  <c r="AU22" i="9" s="1"/>
  <c r="AQ45" i="9"/>
  <c r="AN22" i="9"/>
  <c r="AO22" i="9" s="1"/>
  <c r="DF11" i="9"/>
  <c r="DV11" i="9" s="1"/>
  <c r="U9" i="9"/>
  <c r="CS9" i="9" s="1"/>
  <c r="P14" i="9"/>
  <c r="O24" i="9"/>
  <c r="N47" i="9"/>
  <c r="W4" i="9"/>
  <c r="X4" i="9" s="1"/>
  <c r="W47" i="9"/>
  <c r="X47" i="9" s="1"/>
  <c r="O54" i="9"/>
  <c r="DF58" i="9"/>
  <c r="DV58" i="9" s="1"/>
  <c r="P24" i="9"/>
  <c r="U33" i="9"/>
  <c r="CS33" i="9" s="1"/>
  <c r="O9" i="9"/>
  <c r="P7" i="9"/>
  <c r="N24" i="9"/>
  <c r="AN45" i="9"/>
  <c r="AO45" i="9" s="1"/>
  <c r="P4" i="9"/>
  <c r="O33" i="9"/>
  <c r="W33" i="9"/>
  <c r="X33" i="9" s="1"/>
  <c r="N33" i="9"/>
  <c r="P33" i="9"/>
  <c r="N7" i="9"/>
  <c r="O35" i="9"/>
  <c r="N43" i="9"/>
  <c r="N4" i="9"/>
  <c r="W7" i="9"/>
  <c r="X7" i="9" s="1"/>
  <c r="W16" i="9"/>
  <c r="X16" i="9" s="1"/>
  <c r="O7" i="9"/>
  <c r="N35" i="9"/>
  <c r="N16" i="9"/>
  <c r="U4" i="9"/>
  <c r="CS4" i="9" s="1"/>
  <c r="CT4" i="9" s="1"/>
  <c r="CU4" i="9" s="1"/>
  <c r="CV4" i="9" s="1"/>
  <c r="DF59" i="9"/>
  <c r="AN39" i="9"/>
  <c r="AO39" i="9" s="1"/>
  <c r="AQ8" i="9"/>
  <c r="AQ6" i="9"/>
  <c r="AT18" i="9"/>
  <c r="AU18" i="9" s="1"/>
  <c r="AR39" i="9"/>
  <c r="AS39" i="9" s="1"/>
  <c r="AQ18" i="9"/>
  <c r="AN8" i="9"/>
  <c r="AO8" i="9" s="1"/>
  <c r="AT39" i="9"/>
  <c r="AU39" i="9" s="1"/>
  <c r="AR8" i="9"/>
  <c r="AS8" i="9" s="1"/>
  <c r="AN18" i="9"/>
  <c r="AO18" i="9" s="1"/>
  <c r="AT42" i="9"/>
  <c r="AU42" i="9" s="1"/>
  <c r="AR31" i="9"/>
  <c r="AS31" i="9" s="1"/>
  <c r="AT34" i="9"/>
  <c r="AU34" i="9" s="1"/>
  <c r="AQ32" i="9"/>
  <c r="AT52" i="9"/>
  <c r="AU52" i="9" s="1"/>
  <c r="AR32" i="9"/>
  <c r="AS32" i="9" s="1"/>
  <c r="AT7" i="9"/>
  <c r="AU7" i="9" s="1"/>
  <c r="AQ7" i="9"/>
  <c r="AN34" i="9"/>
  <c r="AO34" i="9" s="1"/>
  <c r="AT15" i="9"/>
  <c r="AU15" i="9" s="1"/>
  <c r="AN15" i="9"/>
  <c r="AO15" i="9" s="1"/>
  <c r="AQ15" i="9"/>
  <c r="AQ19" i="9"/>
  <c r="AQ31" i="9"/>
  <c r="AQ20" i="9"/>
  <c r="AR20" i="9"/>
  <c r="AS20" i="9" s="1"/>
  <c r="AN31" i="9"/>
  <c r="AO31" i="9" s="1"/>
  <c r="AN7" i="9"/>
  <c r="AO7" i="9" s="1"/>
  <c r="AR19" i="9"/>
  <c r="AS19" i="9" s="1"/>
  <c r="AQ4" i="9"/>
  <c r="AT17" i="9"/>
  <c r="AU17" i="9" s="1"/>
  <c r="AQ34" i="9"/>
  <c r="AN20" i="9"/>
  <c r="AO20" i="9" s="1"/>
  <c r="AQ17" i="9"/>
  <c r="AT9" i="9"/>
  <c r="AU9" i="9" s="1"/>
  <c r="AN9" i="9"/>
  <c r="AO9" i="9" s="1"/>
  <c r="AN17" i="9"/>
  <c r="AO17" i="9" s="1"/>
  <c r="AN32" i="9"/>
  <c r="AO32" i="9" s="1"/>
  <c r="AT29" i="9"/>
  <c r="AU29" i="9" s="1"/>
  <c r="AN19" i="9"/>
  <c r="AO19" i="9" s="1"/>
  <c r="AQ42" i="9"/>
  <c r="AN51" i="9"/>
  <c r="AO51" i="9" s="1"/>
  <c r="AQ52" i="9"/>
  <c r="AN42" i="9"/>
  <c r="AO42" i="9" s="1"/>
  <c r="AT50" i="9"/>
  <c r="AU50" i="9" s="1"/>
  <c r="AN4" i="9"/>
  <c r="AO4" i="9" s="1"/>
  <c r="AT51" i="9"/>
  <c r="AU51" i="9" s="1"/>
  <c r="AN52" i="9"/>
  <c r="AO52" i="9" s="1"/>
  <c r="AQ50" i="9"/>
  <c r="AR4" i="9"/>
  <c r="AS4" i="9" s="1"/>
  <c r="AQ9" i="9"/>
  <c r="AQ23" i="9"/>
  <c r="DF22" i="9"/>
  <c r="DH51" i="9"/>
  <c r="DF18" i="9"/>
  <c r="DV18" i="9" s="1"/>
  <c r="DH29" i="9"/>
  <c r="DR29" i="9" s="1"/>
  <c r="DF25" i="9"/>
  <c r="DV25" i="9" s="1"/>
  <c r="N50" i="9"/>
  <c r="AR51" i="9"/>
  <c r="AS51" i="9" s="1"/>
  <c r="DH19" i="9"/>
  <c r="DX19" i="9" s="1"/>
  <c r="DF44" i="9"/>
  <c r="B185" i="23"/>
  <c r="U24" i="9"/>
  <c r="CS24" i="9" s="1"/>
  <c r="CT24" i="9" s="1"/>
  <c r="CU24" i="9" s="1"/>
  <c r="CV24" i="9" s="1"/>
  <c r="W43" i="9"/>
  <c r="X43" i="9" s="1"/>
  <c r="DF37" i="9"/>
  <c r="DV37" i="9" s="1"/>
  <c r="DH4" i="9"/>
  <c r="DX4" i="9" s="1"/>
  <c r="DH11" i="9"/>
  <c r="DR11" i="9" s="1"/>
  <c r="DF13" i="9"/>
  <c r="DV13" i="9" s="1"/>
  <c r="DF56" i="9"/>
  <c r="AQ29" i="9"/>
  <c r="AN29" i="9"/>
  <c r="AO29" i="9" s="1"/>
  <c r="DF32" i="9"/>
  <c r="DP32" i="9" s="1"/>
  <c r="N41" i="9"/>
  <c r="N44" i="9"/>
  <c r="AN23" i="9"/>
  <c r="AO23" i="9" s="1"/>
  <c r="AT23" i="9"/>
  <c r="AU23" i="9" s="1"/>
  <c r="DH46" i="9"/>
  <c r="DF43" i="9"/>
  <c r="DP43" i="9" s="1"/>
  <c r="DF49" i="9"/>
  <c r="DV49" i="9" s="1"/>
  <c r="DH41" i="9"/>
  <c r="DX41" i="9" s="1"/>
  <c r="DH22" i="9"/>
  <c r="DX22" i="9" s="1"/>
  <c r="DH32" i="9"/>
  <c r="DX32" i="9" s="1"/>
  <c r="DH6" i="9"/>
  <c r="DR6" i="9" s="1"/>
  <c r="DH20" i="9"/>
  <c r="DX20" i="9" s="1"/>
  <c r="DH43" i="9"/>
  <c r="DG29" i="9"/>
  <c r="DQ29" i="9" s="1"/>
  <c r="DG24" i="9"/>
  <c r="DW24" i="9" s="1"/>
  <c r="DF52" i="9"/>
  <c r="DF9" i="9"/>
  <c r="DP9" i="9" s="1"/>
  <c r="DF23" i="9"/>
  <c r="DV23" i="9" s="1"/>
  <c r="DF35" i="9"/>
  <c r="DV35" i="9" s="1"/>
  <c r="DF47" i="9"/>
  <c r="DV47" i="9" s="1"/>
  <c r="DF54" i="9"/>
  <c r="DE12" i="9"/>
  <c r="DU12" i="9" s="1"/>
  <c r="U39" i="9"/>
  <c r="CS39" i="9" s="1"/>
  <c r="CT39" i="9" s="1"/>
  <c r="CU39" i="9" s="1"/>
  <c r="CV39" i="9" s="1"/>
  <c r="DG22" i="9"/>
  <c r="AQ38" i="9"/>
  <c r="P39" i="9"/>
  <c r="O41" i="9"/>
  <c r="U41" i="9"/>
  <c r="CS41" i="9" s="1"/>
  <c r="CT41" i="9" s="1"/>
  <c r="CU41" i="9" s="1"/>
  <c r="CV41" i="9" s="1"/>
  <c r="AN12" i="9"/>
  <c r="AO12" i="9" s="1"/>
  <c r="U47" i="9"/>
  <c r="CS47" i="9" s="1"/>
  <c r="CT47" i="9" s="1"/>
  <c r="CU47" i="9" s="1"/>
  <c r="CV47" i="9" s="1"/>
  <c r="P15" i="9"/>
  <c r="N46" i="9"/>
  <c r="P13" i="9"/>
  <c r="W15" i="9"/>
  <c r="X15" i="9" s="1"/>
  <c r="AN43" i="9"/>
  <c r="AO43" i="9" s="1"/>
  <c r="DH25" i="9"/>
  <c r="DR25" i="9" s="1"/>
  <c r="DH50" i="9"/>
  <c r="DX50" i="9" s="1"/>
  <c r="DH30" i="9"/>
  <c r="DR30" i="9" s="1"/>
  <c r="DH40" i="9"/>
  <c r="DX40" i="9" s="1"/>
  <c r="DH54" i="9"/>
  <c r="DX54" i="9" s="1"/>
  <c r="DH14" i="9"/>
  <c r="DX14" i="9" s="1"/>
  <c r="DH39" i="9"/>
  <c r="DR39" i="9" s="1"/>
  <c r="DG27" i="9"/>
  <c r="DW27" i="9" s="1"/>
  <c r="DG17" i="9"/>
  <c r="DQ17" i="9" s="1"/>
  <c r="DF6" i="9"/>
  <c r="DF57" i="9"/>
  <c r="DV57" i="9" s="1"/>
  <c r="DF16" i="9"/>
  <c r="DV16" i="9" s="1"/>
  <c r="DF28" i="9"/>
  <c r="DF33" i="9"/>
  <c r="DV33" i="9" s="1"/>
  <c r="DF50" i="9"/>
  <c r="DP50" i="9" s="1"/>
  <c r="DN6" i="9"/>
  <c r="W13" i="9"/>
  <c r="X13" i="9" s="1"/>
  <c r="P44" i="9"/>
  <c r="AT43" i="9"/>
  <c r="AU43" i="9" s="1"/>
  <c r="DH13" i="9"/>
  <c r="DX13" i="9" s="1"/>
  <c r="O44" i="9"/>
  <c r="DH37" i="9"/>
  <c r="DX37" i="9" s="1"/>
  <c r="AQ12" i="9"/>
  <c r="O13" i="9"/>
  <c r="N39" i="9"/>
  <c r="U44" i="9"/>
  <c r="CS44" i="9" s="1"/>
  <c r="DH18" i="9"/>
  <c r="DH33" i="9"/>
  <c r="DX33" i="9" s="1"/>
  <c r="DH35" i="9"/>
  <c r="DX35" i="9" s="1"/>
  <c r="DF36" i="9"/>
  <c r="DV36" i="9" s="1"/>
  <c r="DF21" i="9"/>
  <c r="DV21" i="9" s="1"/>
  <c r="AN50" i="9"/>
  <c r="AO50" i="9" s="1"/>
  <c r="U43" i="9"/>
  <c r="CS43" i="9" s="1"/>
  <c r="CT43" i="9" s="1"/>
  <c r="CU43" i="9" s="1"/>
  <c r="CV43" i="9" s="1"/>
  <c r="U15" i="9"/>
  <c r="CS15" i="9" s="1"/>
  <c r="U54" i="9"/>
  <c r="CS54" i="9" s="1"/>
  <c r="CT54" i="9" s="1"/>
  <c r="CU54" i="9" s="1"/>
  <c r="CV54" i="9" s="1"/>
  <c r="DH48" i="9"/>
  <c r="DX48" i="9" s="1"/>
  <c r="DH7" i="9"/>
  <c r="DX7" i="9" s="1"/>
  <c r="DH21" i="9"/>
  <c r="DH26" i="9"/>
  <c r="DX26" i="9" s="1"/>
  <c r="DH45" i="9"/>
  <c r="DX45" i="9" s="1"/>
  <c r="DH8" i="9"/>
  <c r="DX8" i="9" s="1"/>
  <c r="DH31" i="9"/>
  <c r="DX31" i="9" s="1"/>
  <c r="DG39" i="9"/>
  <c r="DQ39" i="9" s="1"/>
  <c r="DG42" i="9"/>
  <c r="DW42" i="9" s="1"/>
  <c r="DF29" i="9"/>
  <c r="DV29" i="9" s="1"/>
  <c r="DF48" i="9"/>
  <c r="DP48" i="9" s="1"/>
  <c r="DF5" i="9"/>
  <c r="DV5" i="9" s="1"/>
  <c r="DF19" i="9"/>
  <c r="DP19" i="9" s="1"/>
  <c r="DF24" i="9"/>
  <c r="DV24" i="9" s="1"/>
  <c r="DF38" i="9"/>
  <c r="DP38" i="9" s="1"/>
  <c r="DT56" i="9"/>
  <c r="DH44" i="9"/>
  <c r="DX44" i="9" s="1"/>
  <c r="DH47" i="9"/>
  <c r="DH15" i="9"/>
  <c r="DR15" i="9" s="1"/>
  <c r="DG8" i="9"/>
  <c r="DQ8" i="9" s="1"/>
  <c r="O39" i="9"/>
  <c r="AT12" i="9"/>
  <c r="AU12" i="9" s="1"/>
  <c r="DH42" i="9"/>
  <c r="DR42" i="9" s="1"/>
  <c r="U17" i="9"/>
  <c r="CS17" i="9" s="1"/>
  <c r="CT17" i="9" s="1"/>
  <c r="CU17" i="9" s="1"/>
  <c r="CV17" i="9" s="1"/>
  <c r="DH28" i="9"/>
  <c r="DR28" i="9" s="1"/>
  <c r="DH12" i="9"/>
  <c r="DR12" i="9" s="1"/>
  <c r="DG46" i="9"/>
  <c r="DQ46" i="9" s="1"/>
  <c r="DF12" i="9"/>
  <c r="DV12" i="9" s="1"/>
  <c r="DF42" i="9"/>
  <c r="DP42" i="9" s="1"/>
  <c r="AQ49" i="9"/>
  <c r="AT49" i="9"/>
  <c r="AU49" i="9" s="1"/>
  <c r="N15" i="9"/>
  <c r="P46" i="9"/>
  <c r="P41" i="9"/>
  <c r="AN35" i="9"/>
  <c r="AO35" i="9" s="1"/>
  <c r="W44" i="9"/>
  <c r="X44" i="9" s="1"/>
  <c r="DH57" i="9"/>
  <c r="DR57" i="9" s="1"/>
  <c r="DH5" i="9"/>
  <c r="DR5" i="9" s="1"/>
  <c r="DH10" i="9"/>
  <c r="DH24" i="9"/>
  <c r="DX24" i="9" s="1"/>
  <c r="DH38" i="9"/>
  <c r="DR38" i="9" s="1"/>
  <c r="DH59" i="9"/>
  <c r="DR59" i="9" s="1"/>
  <c r="DH27" i="9"/>
  <c r="DR27" i="9" s="1"/>
  <c r="DG53" i="9"/>
  <c r="DQ53" i="9" s="1"/>
  <c r="DG14" i="9"/>
  <c r="DW14" i="9" s="1"/>
  <c r="DF27" i="9"/>
  <c r="DP27" i="9" s="1"/>
  <c r="DF41" i="9"/>
  <c r="DP41" i="9" s="1"/>
  <c r="DF53" i="9"/>
  <c r="DV53" i="9" s="1"/>
  <c r="DF10" i="9"/>
  <c r="DV10" i="9" s="1"/>
  <c r="DF15" i="9"/>
  <c r="DV15" i="9" s="1"/>
  <c r="DF34" i="9"/>
  <c r="DP34" i="9" s="1"/>
  <c r="U13" i="9"/>
  <c r="CS13" i="9" s="1"/>
  <c r="CT13" i="9" s="1"/>
  <c r="CU13" i="9" s="1"/>
  <c r="CV13" i="9" s="1"/>
  <c r="W41" i="9"/>
  <c r="X41" i="9" s="1"/>
  <c r="DH49" i="9"/>
  <c r="DR49" i="9" s="1"/>
  <c r="DH9" i="9"/>
  <c r="O15" i="9"/>
  <c r="DH34" i="9"/>
  <c r="DX34" i="9" s="1"/>
  <c r="DH52" i="9"/>
  <c r="DR52" i="9" s="1"/>
  <c r="DG9" i="9"/>
  <c r="DQ9" i="9" s="1"/>
  <c r="DF55" i="9"/>
  <c r="DV55" i="9" s="1"/>
  <c r="DF31" i="9"/>
  <c r="AT48" i="9"/>
  <c r="AU48" i="9" s="1"/>
  <c r="N13" i="9"/>
  <c r="AN49" i="9"/>
  <c r="AO49" i="9" s="1"/>
  <c r="AQ35" i="9"/>
  <c r="AQ43" i="9"/>
  <c r="DH16" i="9"/>
  <c r="DR16" i="9" s="1"/>
  <c r="DH53" i="9"/>
  <c r="DX53" i="9" s="1"/>
  <c r="DH58" i="9"/>
  <c r="DX58" i="9" s="1"/>
  <c r="DH17" i="9"/>
  <c r="DR17" i="9" s="1"/>
  <c r="DH36" i="9"/>
  <c r="DX36" i="9" s="1"/>
  <c r="DH55" i="9"/>
  <c r="DR55" i="9" s="1"/>
  <c r="DH23" i="9"/>
  <c r="DR23" i="9" s="1"/>
  <c r="DG51" i="9"/>
  <c r="DQ51" i="9" s="1"/>
  <c r="DG4" i="9"/>
  <c r="DQ4" i="9" s="1"/>
  <c r="DF20" i="9"/>
  <c r="DP20" i="9" s="1"/>
  <c r="DF39" i="9"/>
  <c r="DV39" i="9" s="1"/>
  <c r="DF51" i="9"/>
  <c r="DP51" i="9" s="1"/>
  <c r="DF8" i="9"/>
  <c r="DV8" i="9" s="1"/>
  <c r="DF4" i="9"/>
  <c r="DV4" i="9" s="1"/>
  <c r="DF26" i="9"/>
  <c r="DV26" i="9" s="1"/>
  <c r="O19" i="9"/>
  <c r="W23" i="9"/>
  <c r="X23" i="9" s="1"/>
  <c r="O50" i="9"/>
  <c r="DT37" i="9"/>
  <c r="U46" i="9"/>
  <c r="CS46" i="9" s="1"/>
  <c r="CT46" i="9" s="1"/>
  <c r="CU46" i="9" s="1"/>
  <c r="CV46" i="9" s="1"/>
  <c r="AR35" i="9"/>
  <c r="AS35" i="9" s="1"/>
  <c r="W37" i="9"/>
  <c r="X37" i="9" s="1"/>
  <c r="DG36" i="9"/>
  <c r="DQ36" i="9" s="1"/>
  <c r="DG13" i="9"/>
  <c r="DW13" i="9" s="1"/>
  <c r="DG5" i="9"/>
  <c r="DW5" i="9" s="1"/>
  <c r="DG19" i="9"/>
  <c r="DQ19" i="9" s="1"/>
  <c r="DG31" i="9"/>
  <c r="DW31" i="9" s="1"/>
  <c r="DG50" i="9"/>
  <c r="DQ50" i="9" s="1"/>
  <c r="DG18" i="9"/>
  <c r="DW18" i="9" s="1"/>
  <c r="DD45" i="9"/>
  <c r="N17" i="9"/>
  <c r="DG20" i="9"/>
  <c r="DW20" i="9" s="1"/>
  <c r="DG32" i="9"/>
  <c r="DW32" i="9" s="1"/>
  <c r="DG44" i="9"/>
  <c r="DQ44" i="9" s="1"/>
  <c r="DG15" i="9"/>
  <c r="DQ15" i="9" s="1"/>
  <c r="DG38" i="9"/>
  <c r="DW38" i="9" s="1"/>
  <c r="W19" i="9"/>
  <c r="X19" i="9" s="1"/>
  <c r="O17" i="9"/>
  <c r="DG52" i="9"/>
  <c r="DQ52" i="9" s="1"/>
  <c r="DG59" i="9"/>
  <c r="DG25" i="9"/>
  <c r="DQ25" i="9" s="1"/>
  <c r="DG37" i="9"/>
  <c r="DW37" i="9" s="1"/>
  <c r="DG49" i="9"/>
  <c r="DQ49" i="9" s="1"/>
  <c r="DG11" i="9"/>
  <c r="DW11" i="9" s="1"/>
  <c r="DG34" i="9"/>
  <c r="DW34" i="9" s="1"/>
  <c r="N6" i="9"/>
  <c r="P17" i="9"/>
  <c r="AN48" i="9"/>
  <c r="AO48" i="9" s="1"/>
  <c r="P19" i="9"/>
  <c r="O46" i="9"/>
  <c r="O31" i="9"/>
  <c r="W39" i="9"/>
  <c r="X39" i="9" s="1"/>
  <c r="W42" i="9"/>
  <c r="X42" i="9" s="1"/>
  <c r="DG48" i="9"/>
  <c r="DQ48" i="9" s="1"/>
  <c r="DG55" i="9"/>
  <c r="DW55" i="9" s="1"/>
  <c r="DG23" i="9"/>
  <c r="DW23" i="9" s="1"/>
  <c r="DG35" i="9"/>
  <c r="DW35" i="9" s="1"/>
  <c r="DG47" i="9"/>
  <c r="DQ47" i="9" s="1"/>
  <c r="DG7" i="9"/>
  <c r="DW7" i="9" s="1"/>
  <c r="DG30" i="9"/>
  <c r="DQ30" i="9" s="1"/>
  <c r="DC39" i="9"/>
  <c r="DM39" i="9" s="1"/>
  <c r="DN54" i="9"/>
  <c r="U7" i="9"/>
  <c r="CS7" i="9" s="1"/>
  <c r="CT7" i="9" s="1"/>
  <c r="CU7" i="9" s="1"/>
  <c r="CV7" i="9" s="1"/>
  <c r="AN13" i="9"/>
  <c r="AO13" i="9" s="1"/>
  <c r="DG43" i="9"/>
  <c r="DW43" i="9" s="1"/>
  <c r="DG56" i="9"/>
  <c r="DQ56" i="9" s="1"/>
  <c r="W17" i="9"/>
  <c r="X17" i="9" s="1"/>
  <c r="U12" i="9"/>
  <c r="CS12" i="9" s="1"/>
  <c r="CT12" i="9" s="1"/>
  <c r="CU12" i="9" s="1"/>
  <c r="CV12" i="9" s="1"/>
  <c r="P50" i="9"/>
  <c r="P28" i="9"/>
  <c r="N19" i="9"/>
  <c r="DG6" i="9"/>
  <c r="DG45" i="9"/>
  <c r="DW45" i="9" s="1"/>
  <c r="DG16" i="9"/>
  <c r="DW16" i="9" s="1"/>
  <c r="DG28" i="9"/>
  <c r="DQ28" i="9" s="1"/>
  <c r="DG40" i="9"/>
  <c r="DW40" i="9" s="1"/>
  <c r="DG58" i="9"/>
  <c r="DW58" i="9" s="1"/>
  <c r="DG26" i="9"/>
  <c r="DW26" i="9" s="1"/>
  <c r="AT13" i="9"/>
  <c r="AU13" i="9" s="1"/>
  <c r="U50" i="9"/>
  <c r="CS50" i="9" s="1"/>
  <c r="CT50" i="9" s="1"/>
  <c r="CU50" i="9" s="1"/>
  <c r="CV50" i="9" s="1"/>
  <c r="O28" i="9"/>
  <c r="AQ13" i="9"/>
  <c r="W50" i="9"/>
  <c r="X50" i="9" s="1"/>
  <c r="DG57" i="9"/>
  <c r="DQ57" i="9" s="1"/>
  <c r="DG41" i="9"/>
  <c r="DW41" i="9" s="1"/>
  <c r="DG12" i="9"/>
  <c r="DQ12" i="9" s="1"/>
  <c r="DG21" i="9"/>
  <c r="DW21" i="9" s="1"/>
  <c r="DG33" i="9"/>
  <c r="DQ33" i="9" s="1"/>
  <c r="DG54" i="9"/>
  <c r="DQ54" i="9" s="1"/>
  <c r="DD38" i="9"/>
  <c r="P25" i="9"/>
  <c r="P45" i="9"/>
  <c r="W45" i="9"/>
  <c r="X45" i="9" s="1"/>
  <c r="U28" i="9"/>
  <c r="CS28" i="9" s="1"/>
  <c r="CT28" i="9" s="1"/>
  <c r="CU28" i="9" s="1"/>
  <c r="CV28" i="9" s="1"/>
  <c r="U25" i="9"/>
  <c r="CS25" i="9" s="1"/>
  <c r="CT25" i="9" s="1"/>
  <c r="CU25" i="9" s="1"/>
  <c r="CV25" i="9" s="1"/>
  <c r="AQ26" i="9"/>
  <c r="N26" i="9"/>
  <c r="N52" i="9"/>
  <c r="N28" i="9"/>
  <c r="O26" i="9"/>
  <c r="O52" i="9"/>
  <c r="AQ54" i="9"/>
  <c r="W25" i="9"/>
  <c r="X25" i="9" s="1"/>
  <c r="W26" i="9"/>
  <c r="X26" i="9" s="1"/>
  <c r="AQ47" i="9"/>
  <c r="AN25" i="9"/>
  <c r="AO25" i="9" s="1"/>
  <c r="DF40" i="9"/>
  <c r="DV40" i="9" s="1"/>
  <c r="DF7" i="9"/>
  <c r="DP7" i="9" s="1"/>
  <c r="DF30" i="9"/>
  <c r="DV30" i="9" s="1"/>
  <c r="DD48" i="9"/>
  <c r="DN39" i="9"/>
  <c r="U52" i="9"/>
  <c r="CS52" i="9" s="1"/>
  <c r="CT52" i="9" s="1"/>
  <c r="CU52" i="9" s="1"/>
  <c r="CV52" i="9" s="1"/>
  <c r="W24" i="9"/>
  <c r="X24" i="9" s="1"/>
  <c r="U51" i="9"/>
  <c r="CS51" i="9" s="1"/>
  <c r="CT51" i="9" s="1"/>
  <c r="CU51" i="9" s="1"/>
  <c r="CV51" i="9" s="1"/>
  <c r="AR54" i="9"/>
  <c r="AS54" i="9" s="1"/>
  <c r="AR25" i="9"/>
  <c r="AS25" i="9" s="1"/>
  <c r="O25" i="9"/>
  <c r="P51" i="9"/>
  <c r="U42" i="9"/>
  <c r="CS42" i="9" s="1"/>
  <c r="CT42" i="9" s="1"/>
  <c r="CU42" i="9" s="1"/>
  <c r="CV42" i="9" s="1"/>
  <c r="O45" i="9"/>
  <c r="AN28" i="9"/>
  <c r="AO28" i="9" s="1"/>
  <c r="W31" i="9"/>
  <c r="X31" i="9" s="1"/>
  <c r="AN47" i="9"/>
  <c r="AO47" i="9" s="1"/>
  <c r="DC9" i="9"/>
  <c r="DM9" i="9" s="1"/>
  <c r="P27" i="9"/>
  <c r="AT26" i="9"/>
  <c r="AU26" i="9" s="1"/>
  <c r="W51" i="9"/>
  <c r="X51" i="9" s="1"/>
  <c r="N31" i="9"/>
  <c r="P42" i="9"/>
  <c r="N42" i="9"/>
  <c r="AT25" i="9"/>
  <c r="AU25" i="9" s="1"/>
  <c r="P26" i="9"/>
  <c r="AN6" i="9"/>
  <c r="AO6" i="9" s="1"/>
  <c r="U16" i="9"/>
  <c r="CS16" i="9" s="1"/>
  <c r="CT16" i="9" s="1"/>
  <c r="CU16" i="9" s="1"/>
  <c r="CV16" i="9" s="1"/>
  <c r="W20" i="9"/>
  <c r="X20" i="9" s="1"/>
  <c r="DE25" i="9"/>
  <c r="DU25" i="9" s="1"/>
  <c r="U27" i="9"/>
  <c r="CS27" i="9" s="1"/>
  <c r="CT27" i="9" s="1"/>
  <c r="CU27" i="9" s="1"/>
  <c r="CV27" i="9" s="1"/>
  <c r="AN26" i="9"/>
  <c r="AO26" i="9" s="1"/>
  <c r="AT6" i="9"/>
  <c r="AU6" i="9" s="1"/>
  <c r="U26" i="9"/>
  <c r="CS26" i="9" s="1"/>
  <c r="CT26" i="9" s="1"/>
  <c r="CU26" i="9" s="1"/>
  <c r="CV26" i="9" s="1"/>
  <c r="O51" i="9"/>
  <c r="N45" i="9"/>
  <c r="N51" i="9"/>
  <c r="P31" i="9"/>
  <c r="O42" i="9"/>
  <c r="AN54" i="9"/>
  <c r="AO54" i="9" s="1"/>
  <c r="DC14" i="9"/>
  <c r="DS14" i="9" s="1"/>
  <c r="DF17" i="9"/>
  <c r="DV17" i="9" s="1"/>
  <c r="DF46" i="9"/>
  <c r="DP46" i="9" s="1"/>
  <c r="DF14" i="9"/>
  <c r="DV14" i="9" s="1"/>
  <c r="U31" i="9"/>
  <c r="CS31" i="9" s="1"/>
  <c r="CT31" i="9" s="1"/>
  <c r="CU31" i="9" s="1"/>
  <c r="CV31" i="9" s="1"/>
  <c r="DD41" i="9"/>
  <c r="DT29" i="9"/>
  <c r="U53" i="9"/>
  <c r="CS53" i="9" s="1"/>
  <c r="CT53" i="9" s="1"/>
  <c r="CU53" i="9" s="1"/>
  <c r="CV53" i="9" s="1"/>
  <c r="DC17" i="9"/>
  <c r="DS17" i="9" s="1"/>
  <c r="DD56" i="9"/>
  <c r="DD12" i="9"/>
  <c r="DD29" i="9"/>
  <c r="DC21" i="9"/>
  <c r="DM21" i="9" s="1"/>
  <c r="DT19" i="9"/>
  <c r="DT55" i="9"/>
  <c r="DT5" i="9"/>
  <c r="DN20" i="9"/>
  <c r="DN45" i="9"/>
  <c r="N38" i="9"/>
  <c r="P20" i="9"/>
  <c r="O20" i="9"/>
  <c r="AN38" i="9"/>
  <c r="AO38" i="9" s="1"/>
  <c r="U19" i="9"/>
  <c r="CS19" i="9" s="1"/>
  <c r="CT19" i="9" s="1"/>
  <c r="CU19" i="9" s="1"/>
  <c r="CV19" i="9" s="1"/>
  <c r="AT36" i="9"/>
  <c r="AU36" i="9" s="1"/>
  <c r="W28" i="9"/>
  <c r="X28" i="9" s="1"/>
  <c r="W52" i="9"/>
  <c r="X52" i="9" s="1"/>
  <c r="DC48" i="9"/>
  <c r="DS48" i="9" s="1"/>
  <c r="DE52" i="9"/>
  <c r="DU52" i="9" s="1"/>
  <c r="DD59" i="9"/>
  <c r="DD5" i="9"/>
  <c r="DD14" i="9"/>
  <c r="DC29" i="9"/>
  <c r="DM29" i="9" s="1"/>
  <c r="DT50" i="9"/>
  <c r="DT47" i="9"/>
  <c r="DT36" i="9"/>
  <c r="DN19" i="9"/>
  <c r="DD22" i="9"/>
  <c r="DT32" i="9"/>
  <c r="N36" i="9"/>
  <c r="AT38" i="9"/>
  <c r="AU38" i="9" s="1"/>
  <c r="O36" i="9"/>
  <c r="AN21" i="9"/>
  <c r="AO21" i="9" s="1"/>
  <c r="DD36" i="9"/>
  <c r="DC55" i="9"/>
  <c r="DM55" i="9" s="1"/>
  <c r="DT18" i="9"/>
  <c r="DT28" i="9"/>
  <c r="U48" i="9"/>
  <c r="CS48" i="9" s="1"/>
  <c r="N53" i="9"/>
  <c r="P53" i="9"/>
  <c r="O38" i="9"/>
  <c r="P36" i="9"/>
  <c r="W6" i="9"/>
  <c r="X6" i="9" s="1"/>
  <c r="AQ16" i="9"/>
  <c r="DC52" i="9"/>
  <c r="DM52" i="9" s="1"/>
  <c r="DD34" i="9"/>
  <c r="DD26" i="9"/>
  <c r="DC7" i="9"/>
  <c r="DS7" i="9" s="1"/>
  <c r="B126" i="9"/>
  <c r="B204" i="23" s="1"/>
  <c r="DT10" i="9"/>
  <c r="DT46" i="9"/>
  <c r="DN17" i="9"/>
  <c r="DN10" i="9"/>
  <c r="U20" i="9"/>
  <c r="CS20" i="9" s="1"/>
  <c r="CT20" i="9" s="1"/>
  <c r="CU20" i="9" s="1"/>
  <c r="CV20" i="9" s="1"/>
  <c r="W53" i="9"/>
  <c r="X53" i="9" s="1"/>
  <c r="DC18" i="9"/>
  <c r="DM18" i="9" s="1"/>
  <c r="DC34" i="9"/>
  <c r="DM34" i="9" s="1"/>
  <c r="DC49" i="9"/>
  <c r="DS49" i="9" s="1"/>
  <c r="DT27" i="9"/>
  <c r="DN28" i="9"/>
  <c r="O53" i="9"/>
  <c r="DC45" i="9"/>
  <c r="DS45" i="9" s="1"/>
  <c r="DN11" i="9"/>
  <c r="N20" i="9"/>
  <c r="P43" i="9"/>
  <c r="AQ36" i="9"/>
  <c r="AQ28" i="9"/>
  <c r="W36" i="9"/>
  <c r="X36" i="9" s="1"/>
  <c r="DC37" i="9"/>
  <c r="DM37" i="9" s="1"/>
  <c r="DC47" i="9"/>
  <c r="DS47" i="9" s="1"/>
  <c r="DD18" i="9"/>
  <c r="DD19" i="9"/>
  <c r="DC6" i="9"/>
  <c r="DS6" i="9" s="1"/>
  <c r="DT41" i="9"/>
  <c r="DT38" i="9"/>
  <c r="DN40" i="9"/>
  <c r="DN48" i="9"/>
  <c r="W38" i="9"/>
  <c r="X38" i="9" s="1"/>
  <c r="DD32" i="9"/>
  <c r="DN53" i="9"/>
  <c r="AR16" i="9"/>
  <c r="AS16" i="9" s="1"/>
  <c r="DC16" i="9"/>
  <c r="DS16" i="9" s="1"/>
  <c r="DC11" i="9"/>
  <c r="DM11" i="9" s="1"/>
  <c r="DD44" i="9"/>
  <c r="DT23" i="9"/>
  <c r="O6" i="9"/>
  <c r="AQ48" i="9"/>
  <c r="U36" i="9"/>
  <c r="CS36" i="9" s="1"/>
  <c r="O43" i="9"/>
  <c r="P38" i="9"/>
  <c r="AN36" i="9"/>
  <c r="AO36" i="9" s="1"/>
  <c r="AT28" i="9"/>
  <c r="AU28" i="9" s="1"/>
  <c r="DC33" i="9"/>
  <c r="DS33" i="9" s="1"/>
  <c r="DD54" i="9"/>
  <c r="DD55" i="9"/>
  <c r="DD6" i="9"/>
  <c r="DC5" i="9"/>
  <c r="DM5" i="9" s="1"/>
  <c r="DT9" i="9"/>
  <c r="DT14" i="9"/>
  <c r="DN55" i="9"/>
  <c r="DN15" i="9"/>
  <c r="DE33" i="9"/>
  <c r="DO33" i="9" s="1"/>
  <c r="DE10" i="9"/>
  <c r="DU10" i="9" s="1"/>
  <c r="DE51" i="9"/>
  <c r="DU51" i="9" s="1"/>
  <c r="DE32" i="9"/>
  <c r="DU32" i="9" s="1"/>
  <c r="DE20" i="9"/>
  <c r="DU20" i="9" s="1"/>
  <c r="DE56" i="9"/>
  <c r="DU56" i="9" s="1"/>
  <c r="DE13" i="9"/>
  <c r="DO13" i="9" s="1"/>
  <c r="DE19" i="9"/>
  <c r="DO19" i="9" s="1"/>
  <c r="DE46" i="9"/>
  <c r="DU46" i="9" s="1"/>
  <c r="DE22" i="9"/>
  <c r="DO22" i="9" s="1"/>
  <c r="DE37" i="9"/>
  <c r="DU37" i="9" s="1"/>
  <c r="DE15" i="9"/>
  <c r="DO15" i="9" s="1"/>
  <c r="DE58" i="9"/>
  <c r="DO58" i="9" s="1"/>
  <c r="DE39" i="9"/>
  <c r="DU39" i="9" s="1"/>
  <c r="DE27" i="9"/>
  <c r="DU27" i="9" s="1"/>
  <c r="DE11" i="9"/>
  <c r="DO11" i="9" s="1"/>
  <c r="DE59" i="9"/>
  <c r="DO59" i="9" s="1"/>
  <c r="DE41" i="9"/>
  <c r="DU41" i="9" s="1"/>
  <c r="DE5" i="9"/>
  <c r="DU5" i="9" s="1"/>
  <c r="DE34" i="9"/>
  <c r="DU34" i="9" s="1"/>
  <c r="DE8" i="9"/>
  <c r="DU8" i="9" s="1"/>
  <c r="DE17" i="9"/>
  <c r="DU17" i="9" s="1"/>
  <c r="DE49" i="9"/>
  <c r="DO49" i="9" s="1"/>
  <c r="DE28" i="9"/>
  <c r="DO28" i="9" s="1"/>
  <c r="DE4" i="9"/>
  <c r="DO4" i="9" s="1"/>
  <c r="DE55" i="9"/>
  <c r="DU55" i="9" s="1"/>
  <c r="DE40" i="9"/>
  <c r="DO40" i="9" s="1"/>
  <c r="DE47" i="9"/>
  <c r="DO47" i="9" s="1"/>
  <c r="DE21" i="9"/>
  <c r="DO21" i="9" s="1"/>
  <c r="DE53" i="9"/>
  <c r="DU53" i="9" s="1"/>
  <c r="DE35" i="9"/>
  <c r="DO35" i="9" s="1"/>
  <c r="DE16" i="9"/>
  <c r="DO16" i="9" s="1"/>
  <c r="DE7" i="9"/>
  <c r="DO7" i="9" s="1"/>
  <c r="DE50" i="9"/>
  <c r="DO50" i="9" s="1"/>
  <c r="DE24" i="9"/>
  <c r="DU24" i="9" s="1"/>
  <c r="DE54" i="9"/>
  <c r="DU54" i="9" s="1"/>
  <c r="DE44" i="9"/>
  <c r="DO44" i="9" s="1"/>
  <c r="AN46" i="9"/>
  <c r="AO46" i="9" s="1"/>
  <c r="AT46" i="9"/>
  <c r="AU46" i="9" s="1"/>
  <c r="AQ46" i="9"/>
  <c r="AR46" i="9"/>
  <c r="AS46" i="9" s="1"/>
  <c r="AT27" i="9"/>
  <c r="AU27" i="9" s="1"/>
  <c r="AR27" i="9"/>
  <c r="AS27" i="9" s="1"/>
  <c r="AN27" i="9"/>
  <c r="AO27" i="9" s="1"/>
  <c r="AT24" i="9"/>
  <c r="AU24" i="9" s="1"/>
  <c r="AQ24" i="9"/>
  <c r="AR24" i="9"/>
  <c r="AS24" i="9" s="1"/>
  <c r="U49" i="9"/>
  <c r="CS49" i="9" s="1"/>
  <c r="CT49" i="9" s="1"/>
  <c r="CU49" i="9" s="1"/>
  <c r="CV49" i="9" s="1"/>
  <c r="W49" i="9"/>
  <c r="X49" i="9" s="1"/>
  <c r="P48" i="9"/>
  <c r="DE36" i="9"/>
  <c r="DU36" i="9" s="1"/>
  <c r="DE42" i="9"/>
  <c r="DU42" i="9" s="1"/>
  <c r="W48" i="9"/>
  <c r="X48" i="9" s="1"/>
  <c r="DE18" i="9"/>
  <c r="DU18" i="9" s="1"/>
  <c r="DE26" i="9"/>
  <c r="DO26" i="9" s="1"/>
  <c r="DE9" i="9"/>
  <c r="DU9" i="9" s="1"/>
  <c r="DE6" i="9"/>
  <c r="DO6" i="9" s="1"/>
  <c r="DE38" i="9"/>
  <c r="DU38" i="9" s="1"/>
  <c r="DE48" i="9"/>
  <c r="DU48" i="9" s="1"/>
  <c r="DE57" i="9"/>
  <c r="DU57" i="9" s="1"/>
  <c r="CA18" i="9"/>
  <c r="CC18" i="9" s="1"/>
  <c r="U18" i="9"/>
  <c r="CS18" i="9" s="1"/>
  <c r="P18" i="9"/>
  <c r="N18" i="9"/>
  <c r="AN24" i="9"/>
  <c r="AO24" i="9" s="1"/>
  <c r="AQ27" i="9"/>
  <c r="DE31" i="9"/>
  <c r="DU31" i="9" s="1"/>
  <c r="DE30" i="9"/>
  <c r="DU30" i="9" s="1"/>
  <c r="DE45" i="9"/>
  <c r="DU45" i="9" s="1"/>
  <c r="CA48" i="9"/>
  <c r="CC48" i="9" s="1"/>
  <c r="N48" i="9"/>
  <c r="DE14" i="9"/>
  <c r="DU14" i="9" s="1"/>
  <c r="B28" i="9"/>
  <c r="B31" i="23" s="1"/>
  <c r="O48" i="9"/>
  <c r="O18" i="9"/>
  <c r="DE43" i="9"/>
  <c r="DU43" i="9" s="1"/>
  <c r="DE23" i="9"/>
  <c r="DO23" i="9" s="1"/>
  <c r="DE29" i="9"/>
  <c r="DU29" i="9" s="1"/>
  <c r="DC44" i="9"/>
  <c r="DS44" i="9" s="1"/>
  <c r="DC30" i="9"/>
  <c r="DS30" i="9" s="1"/>
  <c r="DC27" i="9"/>
  <c r="DM27" i="9" s="1"/>
  <c r="DC15" i="9"/>
  <c r="DM15" i="9" s="1"/>
  <c r="DD40" i="9"/>
  <c r="DD13" i="9"/>
  <c r="DD27" i="9"/>
  <c r="DD46" i="9"/>
  <c r="DD58" i="9"/>
  <c r="DD15" i="9"/>
  <c r="DD37" i="9"/>
  <c r="DC38" i="9"/>
  <c r="DM38" i="9" s="1"/>
  <c r="DC43" i="9"/>
  <c r="DS43" i="9" s="1"/>
  <c r="DC53" i="9"/>
  <c r="DM53" i="9" s="1"/>
  <c r="DT11" i="9"/>
  <c r="DT57" i="9"/>
  <c r="DT48" i="9"/>
  <c r="DT39" i="9"/>
  <c r="DT30" i="9"/>
  <c r="DT21" i="9"/>
  <c r="DT20" i="9"/>
  <c r="DN57" i="9"/>
  <c r="DN23" i="9"/>
  <c r="DN12" i="9"/>
  <c r="DN58" i="9"/>
  <c r="DN32" i="9"/>
  <c r="DN46" i="9"/>
  <c r="DN37" i="9"/>
  <c r="N25" i="9"/>
  <c r="U6" i="9"/>
  <c r="CS6" i="9" s="1"/>
  <c r="CT6" i="9" s="1"/>
  <c r="CU6" i="9" s="1"/>
  <c r="CV6" i="9" s="1"/>
  <c r="U45" i="9"/>
  <c r="CS45" i="9" s="1"/>
  <c r="CT45" i="9" s="1"/>
  <c r="CU45" i="9" s="1"/>
  <c r="CV45" i="9" s="1"/>
  <c r="N27" i="9"/>
  <c r="O27" i="9"/>
  <c r="W54" i="9"/>
  <c r="X54" i="9" s="1"/>
  <c r="AT16" i="9"/>
  <c r="AU16" i="9" s="1"/>
  <c r="DC23" i="9"/>
  <c r="DS23" i="9" s="1"/>
  <c r="DC25" i="9"/>
  <c r="DS25" i="9" s="1"/>
  <c r="DC4" i="9"/>
  <c r="DS4" i="9" s="1"/>
  <c r="DC35" i="9"/>
  <c r="DS35" i="9" s="1"/>
  <c r="DD8" i="9"/>
  <c r="DD11" i="9"/>
  <c r="DD20" i="9"/>
  <c r="DD39" i="9"/>
  <c r="DD51" i="9"/>
  <c r="DD10" i="9"/>
  <c r="DD33" i="9"/>
  <c r="DC36" i="9"/>
  <c r="DM36" i="9" s="1"/>
  <c r="DC10" i="9"/>
  <c r="DS10" i="9" s="1"/>
  <c r="DC57" i="9"/>
  <c r="DS57" i="9" s="1"/>
  <c r="DT58" i="9"/>
  <c r="DT49" i="9"/>
  <c r="DT40" i="9"/>
  <c r="DT31" i="9"/>
  <c r="DT22" i="9"/>
  <c r="DT13" i="9"/>
  <c r="DT12" i="9"/>
  <c r="DN49" i="9"/>
  <c r="DN7" i="9"/>
  <c r="DN59" i="9"/>
  <c r="DN50" i="9"/>
  <c r="DN24" i="9"/>
  <c r="DN38" i="9"/>
  <c r="DN29" i="9"/>
  <c r="DC59" i="9"/>
  <c r="DM59" i="9" s="1"/>
  <c r="DD31" i="9"/>
  <c r="DD30" i="9"/>
  <c r="DC51" i="9"/>
  <c r="DS51" i="9" s="1"/>
  <c r="DT42" i="9"/>
  <c r="DN43" i="9"/>
  <c r="P54" i="9"/>
  <c r="W27" i="9"/>
  <c r="X27" i="9" s="1"/>
  <c r="AT47" i="9"/>
  <c r="AU47" i="9" s="1"/>
  <c r="DC19" i="9"/>
  <c r="DM19" i="9" s="1"/>
  <c r="DC8" i="9"/>
  <c r="DS8" i="9" s="1"/>
  <c r="DC24" i="9"/>
  <c r="DS24" i="9" s="1"/>
  <c r="DC46" i="9"/>
  <c r="DS46" i="9" s="1"/>
  <c r="DD24" i="9"/>
  <c r="DD50" i="9"/>
  <c r="DD9" i="9"/>
  <c r="DD23" i="9"/>
  <c r="DD35" i="9"/>
  <c r="DD53" i="9"/>
  <c r="DD21" i="9"/>
  <c r="DC40" i="9"/>
  <c r="DM40" i="9" s="1"/>
  <c r="DC54" i="9"/>
  <c r="DM54" i="9" s="1"/>
  <c r="DC32" i="9"/>
  <c r="DM32" i="9" s="1"/>
  <c r="DT51" i="9"/>
  <c r="DT34" i="9"/>
  <c r="DT25" i="9"/>
  <c r="DT16" i="9"/>
  <c r="DT7" i="9"/>
  <c r="DT53" i="9"/>
  <c r="DT52" i="9"/>
  <c r="B181" i="23"/>
  <c r="DN9" i="9"/>
  <c r="DN44" i="9"/>
  <c r="DN35" i="9"/>
  <c r="DN26" i="9"/>
  <c r="DN47" i="9"/>
  <c r="DN14" i="9"/>
  <c r="DN5" i="9"/>
  <c r="DT43" i="9"/>
  <c r="DN33" i="9"/>
  <c r="DN4" i="9"/>
  <c r="DN51" i="9"/>
  <c r="DN42" i="9"/>
  <c r="DN16" i="9"/>
  <c r="DN30" i="9"/>
  <c r="DN21" i="9"/>
  <c r="DC26" i="9"/>
  <c r="DM26" i="9" s="1"/>
  <c r="DC12" i="9"/>
  <c r="DM12" i="9" s="1"/>
  <c r="DC28" i="9"/>
  <c r="DS28" i="9" s="1"/>
  <c r="DD52" i="9"/>
  <c r="DD4" i="9"/>
  <c r="DD42" i="9"/>
  <c r="DD57" i="9"/>
  <c r="DD25" i="9"/>
  <c r="DC50" i="9"/>
  <c r="DM50" i="9" s="1"/>
  <c r="DC31" i="9"/>
  <c r="DS31" i="9" s="1"/>
  <c r="D120" i="9"/>
  <c r="DT33" i="9"/>
  <c r="DT24" i="9"/>
  <c r="DT15" i="9"/>
  <c r="DT6" i="9"/>
  <c r="DT4" i="9"/>
  <c r="DT59" i="9"/>
  <c r="DN25" i="9"/>
  <c r="DN52" i="9"/>
  <c r="DN34" i="9"/>
  <c r="DN8" i="9"/>
  <c r="DN22" i="9"/>
  <c r="DN13" i="9"/>
  <c r="AQ21" i="9"/>
  <c r="AT21" i="9"/>
  <c r="AU21" i="9" s="1"/>
  <c r="N54" i="9"/>
  <c r="DC42" i="9"/>
  <c r="DM42" i="9" s="1"/>
  <c r="DC20" i="9"/>
  <c r="DS20" i="9" s="1"/>
  <c r="DC56" i="9"/>
  <c r="DM56" i="9" s="1"/>
  <c r="DC22" i="9"/>
  <c r="DM22" i="9" s="1"/>
  <c r="DD47" i="9"/>
  <c r="DD43" i="9"/>
  <c r="DD7" i="9"/>
  <c r="DD16" i="9"/>
  <c r="DD28" i="9"/>
  <c r="DD49" i="9"/>
  <c r="DD17" i="9"/>
  <c r="DC41" i="9"/>
  <c r="DS41" i="9" s="1"/>
  <c r="DC13" i="9"/>
  <c r="DS13" i="9" s="1"/>
  <c r="DC58" i="9"/>
  <c r="DM58" i="9" s="1"/>
  <c r="DT35" i="9"/>
  <c r="DT26" i="9"/>
  <c r="DT17" i="9"/>
  <c r="DT8" i="9"/>
  <c r="DT54" i="9"/>
  <c r="DT45" i="9"/>
  <c r="DT44" i="9"/>
  <c r="DN41" i="9"/>
  <c r="DN56" i="9"/>
  <c r="DN36" i="9"/>
  <c r="DN27" i="9"/>
  <c r="DN18" i="9"/>
  <c r="DN31" i="9"/>
  <c r="CK12" i="2"/>
  <c r="CS12" i="2" s="1"/>
  <c r="CT12" i="2" s="1"/>
  <c r="CU12" i="2" s="1"/>
  <c r="CK25" i="2"/>
  <c r="CS25" i="2" s="1"/>
  <c r="CT25" i="2" s="1"/>
  <c r="CU25" i="2" s="1"/>
  <c r="CK47" i="2"/>
  <c r="CS47" i="2" s="1"/>
  <c r="CT47" i="2" s="1"/>
  <c r="CU47" i="2" s="1"/>
  <c r="CK51" i="2"/>
  <c r="CS51" i="2" s="1"/>
  <c r="CT51" i="2" s="1"/>
  <c r="CU51" i="2" s="1"/>
  <c r="CK7" i="2"/>
  <c r="CS7" i="2" s="1"/>
  <c r="CT7" i="2" s="1"/>
  <c r="CU7" i="2" s="1"/>
  <c r="CK54" i="2"/>
  <c r="CS54" i="2" s="1"/>
  <c r="CT54" i="2" s="1"/>
  <c r="CU54" i="2" s="1"/>
  <c r="CK44" i="2"/>
  <c r="CS44" i="2" s="1"/>
  <c r="CT44" i="2" s="1"/>
  <c r="CU44" i="2" s="1"/>
  <c r="CK9" i="2"/>
  <c r="CS9" i="2" s="1"/>
  <c r="CT9" i="2" s="1"/>
  <c r="CU9" i="2" s="1"/>
  <c r="CK37" i="2"/>
  <c r="CS37" i="2" s="1"/>
  <c r="CT37" i="2" s="1"/>
  <c r="CU37" i="2" s="1"/>
  <c r="CK34" i="2"/>
  <c r="CS34" i="2" s="1"/>
  <c r="CT34" i="2" s="1"/>
  <c r="CU34" i="2" s="1"/>
  <c r="CK15" i="2"/>
  <c r="CS15" i="2" s="1"/>
  <c r="CT15" i="2" s="1"/>
  <c r="CU15" i="2" s="1"/>
  <c r="CK11" i="2"/>
  <c r="CS11" i="2" s="1"/>
  <c r="CT11" i="2" s="1"/>
  <c r="CU11" i="2" s="1"/>
  <c r="CK42" i="2"/>
  <c r="CS42" i="2" s="1"/>
  <c r="CT42" i="2" s="1"/>
  <c r="CU42" i="2" s="1"/>
  <c r="CW21" i="16"/>
  <c r="CX21" i="16" s="1"/>
  <c r="CY21" i="16" s="1"/>
  <c r="CK31" i="2"/>
  <c r="CS31" i="2" s="1"/>
  <c r="CT31" i="2" s="1"/>
  <c r="CU31" i="2" s="1"/>
  <c r="CK20" i="2"/>
  <c r="CS20" i="2" s="1"/>
  <c r="CT20" i="2" s="1"/>
  <c r="CU20" i="2" s="1"/>
  <c r="CK35" i="2"/>
  <c r="CS35" i="2" s="1"/>
  <c r="CT35" i="2" s="1"/>
  <c r="CU35" i="2" s="1"/>
  <c r="CK50" i="2"/>
  <c r="CS50" i="2" s="1"/>
  <c r="CT50" i="2" s="1"/>
  <c r="CU50" i="2" s="1"/>
  <c r="CK8" i="2"/>
  <c r="CS8" i="2" s="1"/>
  <c r="CT8" i="2" s="1"/>
  <c r="CU8" i="2" s="1"/>
  <c r="CK49" i="2"/>
  <c r="CS49" i="2" s="1"/>
  <c r="CT49" i="2" s="1"/>
  <c r="CU49" i="2" s="1"/>
  <c r="CK40" i="2"/>
  <c r="CS40" i="2" s="1"/>
  <c r="CT40" i="2" s="1"/>
  <c r="CU40" i="2" s="1"/>
  <c r="CK33" i="2"/>
  <c r="CS33" i="2" s="1"/>
  <c r="CT33" i="2" s="1"/>
  <c r="CU33" i="2" s="1"/>
  <c r="CK6" i="2"/>
  <c r="CS6" i="2" s="1"/>
  <c r="CT6" i="2" s="1"/>
  <c r="CU6" i="2" s="1"/>
  <c r="CK24" i="2"/>
  <c r="CS24" i="2" s="1"/>
  <c r="CT24" i="2" s="1"/>
  <c r="CU24" i="2" s="1"/>
  <c r="CK30" i="2"/>
  <c r="CS30" i="2" s="1"/>
  <c r="CT30" i="2" s="1"/>
  <c r="CU30" i="2" s="1"/>
  <c r="CK22" i="2"/>
  <c r="CS22" i="2" s="1"/>
  <c r="CT22" i="2" s="1"/>
  <c r="CU22" i="2" s="1"/>
  <c r="CW29" i="16"/>
  <c r="CX29" i="16" s="1"/>
  <c r="CY29" i="16" s="1"/>
  <c r="CK16" i="2"/>
  <c r="CS16" i="2" s="1"/>
  <c r="CT16" i="2" s="1"/>
  <c r="CU16" i="2" s="1"/>
  <c r="CK14" i="2"/>
  <c r="CS14" i="2" s="1"/>
  <c r="CT14" i="2" s="1"/>
  <c r="CU14" i="2" s="1"/>
  <c r="CK4" i="8"/>
  <c r="CS4" i="8" s="1"/>
  <c r="CT4" i="8" s="1"/>
  <c r="CU4" i="8" s="1"/>
  <c r="CK18" i="2"/>
  <c r="CS18" i="2" s="1"/>
  <c r="CT18" i="2" s="1"/>
  <c r="CU18" i="2" s="1"/>
  <c r="CK32" i="2"/>
  <c r="CS32" i="2" s="1"/>
  <c r="CT32" i="2" s="1"/>
  <c r="CU32" i="2" s="1"/>
  <c r="CK17" i="2"/>
  <c r="CS17" i="2" s="1"/>
  <c r="CT17" i="2" s="1"/>
  <c r="CU17" i="2" s="1"/>
  <c r="CK52" i="2"/>
  <c r="CS52" i="2" s="1"/>
  <c r="CT52" i="2" s="1"/>
  <c r="CU52" i="2" s="1"/>
  <c r="CK41" i="2"/>
  <c r="CS41" i="2" s="1"/>
  <c r="CT41" i="2" s="1"/>
  <c r="CU41" i="2" s="1"/>
  <c r="CK43" i="2"/>
  <c r="CS43" i="2" s="1"/>
  <c r="CT43" i="2" s="1"/>
  <c r="CU43" i="2" s="1"/>
  <c r="J12" i="16"/>
  <c r="B39" i="26"/>
  <c r="DX29" i="9"/>
  <c r="DV59" i="9"/>
  <c r="DP59" i="9"/>
  <c r="DR47" i="9"/>
  <c r="DX47" i="9"/>
  <c r="DV43" i="9"/>
  <c r="DV45" i="9"/>
  <c r="DP45" i="9"/>
  <c r="DP25" i="9"/>
  <c r="DX9" i="9"/>
  <c r="DR9" i="9"/>
  <c r="DR43" i="9"/>
  <c r="DX43" i="9"/>
  <c r="DV52" i="9"/>
  <c r="DP52" i="9"/>
  <c r="DV34" i="9"/>
  <c r="DV32" i="9"/>
  <c r="DV42" i="9"/>
  <c r="DX30" i="9"/>
  <c r="DX12" i="9"/>
  <c r="DR7" i="9"/>
  <c r="DX21" i="9"/>
  <c r="DR21" i="9"/>
  <c r="DR31" i="9"/>
  <c r="DV31" i="9"/>
  <c r="DP31" i="9"/>
  <c r="DP54" i="9"/>
  <c r="DV54" i="9"/>
  <c r="DV22" i="9"/>
  <c r="DP22" i="9"/>
  <c r="DR46" i="9"/>
  <c r="DX46" i="9"/>
  <c r="DR51" i="9"/>
  <c r="DX51" i="9"/>
  <c r="DV44" i="9"/>
  <c r="DP44" i="9"/>
  <c r="DV6" i="9"/>
  <c r="DP6" i="9"/>
  <c r="DV28" i="9"/>
  <c r="DP28" i="9"/>
  <c r="DX52" i="9"/>
  <c r="DX57" i="9"/>
  <c r="DX10" i="9"/>
  <c r="DR10" i="9"/>
  <c r="DV27" i="9"/>
  <c r="DV41" i="9"/>
  <c r="DX56" i="9"/>
  <c r="DP56" i="9"/>
  <c r="DV56" i="9"/>
  <c r="DX18" i="9"/>
  <c r="DR18" i="9"/>
  <c r="DV51" i="9"/>
  <c r="DP8" i="9"/>
  <c r="DQ59" i="9"/>
  <c r="DW59" i="9"/>
  <c r="DQ27" i="9"/>
  <c r="DW39" i="9"/>
  <c r="DW51" i="9"/>
  <c r="DQ42" i="9"/>
  <c r="DQ32" i="9"/>
  <c r="DW56" i="9"/>
  <c r="DW15" i="9"/>
  <c r="DQ38" i="9"/>
  <c r="DQ23" i="9"/>
  <c r="DW6" i="9"/>
  <c r="DQ6" i="9"/>
  <c r="DW22" i="9"/>
  <c r="DQ22" i="9"/>
  <c r="DQ45" i="9"/>
  <c r="DQ40" i="9"/>
  <c r="DS9" i="9"/>
  <c r="DS37" i="9"/>
  <c r="DW9" i="9"/>
  <c r="DW10" i="9"/>
  <c r="DQ10" i="9"/>
  <c r="DO8" i="9"/>
  <c r="DU22" i="9"/>
  <c r="CW24" i="16"/>
  <c r="CX24" i="16" s="1"/>
  <c r="CY24" i="16" s="1"/>
  <c r="CW26" i="16"/>
  <c r="CX26" i="16" s="1"/>
  <c r="CY26" i="16" s="1"/>
  <c r="CW27" i="16"/>
  <c r="CX27" i="16" s="1"/>
  <c r="CY27" i="16" s="1"/>
  <c r="CM51" i="16"/>
  <c r="CW51" i="16" s="1"/>
  <c r="CX51" i="16" s="1"/>
  <c r="CY51" i="16" s="1"/>
  <c r="CM32" i="16"/>
  <c r="CW32" i="16" s="1"/>
  <c r="CX32" i="16" s="1"/>
  <c r="CY32" i="16" s="1"/>
  <c r="CW35" i="16"/>
  <c r="CX35" i="16" s="1"/>
  <c r="CY35" i="16" s="1"/>
  <c r="CW43" i="16"/>
  <c r="CX43" i="16" s="1"/>
  <c r="CY43" i="16" s="1"/>
  <c r="CW7" i="16"/>
  <c r="CX7" i="16" s="1"/>
  <c r="CY7" i="16" s="1"/>
  <c r="CW47" i="16"/>
  <c r="CX47" i="16" s="1"/>
  <c r="CY47" i="16" s="1"/>
  <c r="CW44" i="16"/>
  <c r="CX44" i="16" s="1"/>
  <c r="CY44" i="16" s="1"/>
  <c r="CW23" i="16"/>
  <c r="CX23" i="16" s="1"/>
  <c r="CY23" i="16" s="1"/>
  <c r="CW52" i="16"/>
  <c r="CX52" i="16" s="1"/>
  <c r="CY52" i="16" s="1"/>
  <c r="CW39" i="16"/>
  <c r="CX39" i="16" s="1"/>
  <c r="CY39" i="16" s="1"/>
  <c r="CW36" i="16"/>
  <c r="CX36" i="16" s="1"/>
  <c r="CY36" i="16" s="1"/>
  <c r="CM34" i="16"/>
  <c r="CW34" i="16" s="1"/>
  <c r="CX34" i="16" s="1"/>
  <c r="CY34" i="16" s="1"/>
  <c r="CM6" i="16"/>
  <c r="CW6" i="16" s="1"/>
  <c r="CX6" i="16" s="1"/>
  <c r="CY6" i="16" s="1"/>
  <c r="CM46" i="16"/>
  <c r="CW46" i="16" s="1"/>
  <c r="CX46" i="16" s="1"/>
  <c r="CY46" i="16" s="1"/>
  <c r="CM17" i="16"/>
  <c r="CW17" i="16" s="1"/>
  <c r="CX17" i="16" s="1"/>
  <c r="CY17" i="16" s="1"/>
  <c r="CM54" i="16"/>
  <c r="CW54" i="16" s="1"/>
  <c r="CX54" i="16" s="1"/>
  <c r="CY54" i="16" s="1"/>
  <c r="CM13" i="16"/>
  <c r="CW13" i="16" s="1"/>
  <c r="CX13" i="16" s="1"/>
  <c r="CY13" i="16" s="1"/>
  <c r="CM31" i="16"/>
  <c r="CW31" i="16" s="1"/>
  <c r="CX31" i="16" s="1"/>
  <c r="CY31" i="16" s="1"/>
  <c r="CM40" i="16"/>
  <c r="CW40" i="16" s="1"/>
  <c r="CX40" i="16" s="1"/>
  <c r="CY40" i="16" s="1"/>
  <c r="CM53" i="16"/>
  <c r="CW53" i="16" s="1"/>
  <c r="CX53" i="16" s="1"/>
  <c r="CY53" i="16" s="1"/>
  <c r="CM22" i="16"/>
  <c r="CW22" i="16" s="1"/>
  <c r="CX22" i="16" s="1"/>
  <c r="CY22" i="16" s="1"/>
  <c r="CM28" i="16"/>
  <c r="CW28" i="16" s="1"/>
  <c r="CX28" i="16" s="1"/>
  <c r="CY28" i="16" s="1"/>
  <c r="CM38" i="16"/>
  <c r="CW38" i="16" s="1"/>
  <c r="CX38" i="16" s="1"/>
  <c r="CY38" i="16" s="1"/>
  <c r="CM20" i="16"/>
  <c r="CW20" i="16" s="1"/>
  <c r="CX20" i="16" s="1"/>
  <c r="CY20" i="16" s="1"/>
  <c r="CM9" i="16"/>
  <c r="CW9" i="16" s="1"/>
  <c r="CX9" i="16" s="1"/>
  <c r="CY9" i="16" s="1"/>
  <c r="CM19" i="16"/>
  <c r="CW19" i="16" s="1"/>
  <c r="CX19" i="16" s="1"/>
  <c r="CY19" i="16" s="1"/>
  <c r="CM10" i="16"/>
  <c r="CW10" i="16" s="1"/>
  <c r="CX10" i="16" s="1"/>
  <c r="CY10" i="16" s="1"/>
  <c r="CM11" i="16"/>
  <c r="CW11" i="16" s="1"/>
  <c r="CX11" i="16" s="1"/>
  <c r="CY11" i="16" s="1"/>
  <c r="CM25" i="16"/>
  <c r="CW25" i="16" s="1"/>
  <c r="CX25" i="16" s="1"/>
  <c r="CY25" i="16" s="1"/>
  <c r="CM15" i="16"/>
  <c r="CW15" i="16" s="1"/>
  <c r="CX15" i="16" s="1"/>
  <c r="CY15" i="16" s="1"/>
  <c r="CM42" i="16"/>
  <c r="CW42" i="16" s="1"/>
  <c r="CX42" i="16" s="1"/>
  <c r="CY42" i="16" s="1"/>
  <c r="CM8" i="16"/>
  <c r="CW8" i="16" s="1"/>
  <c r="CX8" i="16" s="1"/>
  <c r="CY8" i="16" s="1"/>
  <c r="CM45" i="16"/>
  <c r="CW45" i="16" s="1"/>
  <c r="CX45" i="16" s="1"/>
  <c r="CY45" i="16" s="1"/>
  <c r="CM16" i="16"/>
  <c r="CW16" i="16" s="1"/>
  <c r="CX16" i="16" s="1"/>
  <c r="CY16" i="16" s="1"/>
  <c r="CM50" i="16"/>
  <c r="CW50" i="16" s="1"/>
  <c r="CX50" i="16" s="1"/>
  <c r="CY50" i="16" s="1"/>
  <c r="CM48" i="16"/>
  <c r="CW48" i="16" s="1"/>
  <c r="CX48" i="16" s="1"/>
  <c r="CY48" i="16" s="1"/>
  <c r="CM41" i="16"/>
  <c r="CW41" i="16" s="1"/>
  <c r="CX41" i="16" s="1"/>
  <c r="CY41" i="16" s="1"/>
  <c r="CM37" i="16"/>
  <c r="CW37" i="16" s="1"/>
  <c r="CX37" i="16" s="1"/>
  <c r="CY37" i="16" s="1"/>
  <c r="CM30" i="16"/>
  <c r="CW30" i="16" s="1"/>
  <c r="CX30" i="16" s="1"/>
  <c r="CY30" i="16" s="1"/>
  <c r="CM49" i="16"/>
  <c r="CW49" i="16" s="1"/>
  <c r="CX49" i="16" s="1"/>
  <c r="CY49" i="16" s="1"/>
  <c r="CM14" i="16"/>
  <c r="CW14" i="16" s="1"/>
  <c r="CX14" i="16" s="1"/>
  <c r="CY14" i="16" s="1"/>
  <c r="CM12" i="16"/>
  <c r="CW12" i="16" s="1"/>
  <c r="CX12" i="16" s="1"/>
  <c r="CY12" i="16" s="1"/>
  <c r="CM18" i="16"/>
  <c r="CW18" i="16" s="1"/>
  <c r="CX18" i="16" s="1"/>
  <c r="CY18" i="16" s="1"/>
  <c r="CM33" i="16"/>
  <c r="CW33" i="16" s="1"/>
  <c r="CX33" i="16" s="1"/>
  <c r="CY33" i="16" s="1"/>
  <c r="CM5" i="16"/>
  <c r="CW5" i="16" s="1"/>
  <c r="CX5" i="16" s="1"/>
  <c r="CY5" i="16" s="1"/>
  <c r="CM4" i="16"/>
  <c r="CW4" i="16" s="1"/>
  <c r="CX4" i="16" s="1"/>
  <c r="CY4" i="16" s="1"/>
  <c r="CT22" i="9"/>
  <c r="CU22" i="9" s="1"/>
  <c r="CV22" i="9" s="1"/>
  <c r="B28" i="25"/>
  <c r="W4" i="8"/>
  <c r="B30" i="25"/>
  <c r="B28" i="22"/>
  <c r="W4" i="2"/>
  <c r="B30" i="22"/>
  <c r="BP29" i="8"/>
  <c r="BP4" i="8"/>
  <c r="BP51" i="8"/>
  <c r="BP23" i="8"/>
  <c r="BP16" i="8"/>
  <c r="BP32" i="8"/>
  <c r="BP18" i="8"/>
  <c r="CT8" i="9"/>
  <c r="CU8" i="9" s="1"/>
  <c r="CV8" i="9" s="1"/>
  <c r="BP33" i="8"/>
  <c r="BP14" i="8"/>
  <c r="BP31" i="8"/>
  <c r="BP48" i="8"/>
  <c r="BP20" i="8"/>
  <c r="BP36" i="8"/>
  <c r="BP28" i="8"/>
  <c r="BP42" i="8"/>
  <c r="CT44" i="9"/>
  <c r="CU44" i="9" s="1"/>
  <c r="CV44" i="9" s="1"/>
  <c r="BP50" i="8"/>
  <c r="BP27" i="8"/>
  <c r="BP47" i="8"/>
  <c r="BP19" i="8"/>
  <c r="BP49" i="8"/>
  <c r="BP30" i="8"/>
  <c r="BP22" i="8"/>
  <c r="BP8" i="8"/>
  <c r="BP40" i="8"/>
  <c r="BP7" i="8"/>
  <c r="BP6" i="8"/>
  <c r="BP45" i="8"/>
  <c r="BP39" i="8"/>
  <c r="BP17" i="8"/>
  <c r="BP25" i="8"/>
  <c r="BP26" i="8"/>
  <c r="BP53" i="8"/>
  <c r="BP12" i="8"/>
  <c r="BP11" i="8"/>
  <c r="BP21" i="8"/>
  <c r="BP38" i="8"/>
  <c r="BP15" i="8"/>
  <c r="BP44" i="8"/>
  <c r="BP46" i="8"/>
  <c r="BP43" i="8"/>
  <c r="BP9" i="8"/>
  <c r="BP10" i="8"/>
  <c r="BP52" i="8"/>
  <c r="BP5" i="8"/>
  <c r="BP54" i="8"/>
  <c r="BP24" i="8"/>
  <c r="BP41" i="8"/>
  <c r="BP13" i="8"/>
  <c r="BP37" i="8"/>
  <c r="BP34" i="8"/>
  <c r="CT10" i="9"/>
  <c r="CU10" i="9" s="1"/>
  <c r="CV10" i="9" s="1"/>
  <c r="CT21" i="9"/>
  <c r="CU21" i="9" s="1"/>
  <c r="CV21" i="9" s="1"/>
  <c r="CT15" i="9"/>
  <c r="CU15" i="9" s="1"/>
  <c r="CV15" i="9" s="1"/>
  <c r="CT9" i="9"/>
  <c r="CU9" i="9" s="1"/>
  <c r="CV9" i="9" s="1"/>
  <c r="CT40" i="9"/>
  <c r="CU40" i="9" s="1"/>
  <c r="CV40" i="9" s="1"/>
  <c r="CT35" i="9"/>
  <c r="CU35" i="9" s="1"/>
  <c r="CV35" i="9" s="1"/>
  <c r="CT37" i="9"/>
  <c r="CU37" i="9" s="1"/>
  <c r="CV37" i="9" s="1"/>
  <c r="CT14" i="9"/>
  <c r="CU14" i="9" s="1"/>
  <c r="CV14" i="9" s="1"/>
  <c r="CT38" i="9"/>
  <c r="CU38" i="9" s="1"/>
  <c r="CV38" i="9" s="1"/>
  <c r="CT23" i="9"/>
  <c r="CU23" i="9" s="1"/>
  <c r="CV23" i="9" s="1"/>
  <c r="CT11" i="9"/>
  <c r="CU11" i="9" s="1"/>
  <c r="CV11" i="9" s="1"/>
  <c r="CT29" i="9"/>
  <c r="CU29" i="9" s="1"/>
  <c r="CV29" i="9" s="1"/>
  <c r="CT33" i="9"/>
  <c r="CU33" i="9" s="1"/>
  <c r="CV33" i="9" s="1"/>
  <c r="CT5" i="9"/>
  <c r="CU5" i="9" s="1"/>
  <c r="CV5" i="9" s="1"/>
  <c r="CT34" i="9"/>
  <c r="CU34" i="9" s="1"/>
  <c r="CV34" i="9" s="1"/>
  <c r="CT32" i="9"/>
  <c r="CU32" i="9" s="1"/>
  <c r="CV32" i="9" s="1"/>
  <c r="CT30" i="9"/>
  <c r="CU30" i="9" s="1"/>
  <c r="CV30" i="9" s="1"/>
  <c r="CT36" i="9"/>
  <c r="CU36" i="9" s="1"/>
  <c r="CV36" i="9" s="1"/>
  <c r="T22" i="16"/>
  <c r="B133" i="3"/>
  <c r="B66" i="16"/>
  <c r="B78" i="26" s="1"/>
  <c r="R29" i="16"/>
  <c r="R23" i="16"/>
  <c r="R19" i="16"/>
  <c r="R47" i="16"/>
  <c r="R24" i="16"/>
  <c r="R20" i="16"/>
  <c r="T34" i="16"/>
  <c r="R39" i="16"/>
  <c r="CX30" i="9"/>
  <c r="CX8" i="9"/>
  <c r="CX34" i="9"/>
  <c r="CX23" i="9"/>
  <c r="CX45" i="9"/>
  <c r="CX22" i="9"/>
  <c r="CX35" i="9"/>
  <c r="CX14" i="9"/>
  <c r="CX29" i="9"/>
  <c r="CX10" i="9"/>
  <c r="CX11" i="9"/>
  <c r="CX40" i="9"/>
  <c r="CX33" i="9"/>
  <c r="CX9" i="9"/>
  <c r="CX38" i="9"/>
  <c r="CX47" i="9"/>
  <c r="CX21" i="9"/>
  <c r="CX37" i="9"/>
  <c r="CX44" i="9"/>
  <c r="CX32" i="9"/>
  <c r="CX5" i="9"/>
  <c r="R15" i="16"/>
  <c r="T10" i="16"/>
  <c r="R18" i="16"/>
  <c r="R52" i="16"/>
  <c r="T54" i="16"/>
  <c r="T30" i="16"/>
  <c r="R28" i="16"/>
  <c r="T25" i="16"/>
  <c r="BH36" i="9"/>
  <c r="R27" i="16"/>
  <c r="U4" i="2"/>
  <c r="T32" i="16"/>
  <c r="R12" i="16"/>
  <c r="R33" i="16"/>
  <c r="R5" i="16"/>
  <c r="R21" i="16"/>
  <c r="BH44" i="9"/>
  <c r="T31" i="16"/>
  <c r="BH19" i="9"/>
  <c r="R7" i="16"/>
  <c r="BH9" i="9"/>
  <c r="T44" i="16"/>
  <c r="R17" i="16"/>
  <c r="T14" i="16"/>
  <c r="R36" i="16"/>
  <c r="R26" i="16"/>
  <c r="T6" i="16"/>
  <c r="R43" i="16"/>
  <c r="R11" i="16"/>
  <c r="T35" i="16"/>
  <c r="R35" i="16"/>
  <c r="R40" i="16"/>
  <c r="T45" i="16"/>
  <c r="BH35" i="9"/>
  <c r="BH38" i="9"/>
  <c r="BH28" i="9"/>
  <c r="BH42" i="9"/>
  <c r="BH14" i="9"/>
  <c r="BH16" i="9"/>
  <c r="BH6" i="9"/>
  <c r="BH45" i="9"/>
  <c r="BH52" i="9"/>
  <c r="BH41" i="9"/>
  <c r="BH12" i="9"/>
  <c r="BH53" i="9"/>
  <c r="BH33" i="9"/>
  <c r="BH18" i="9"/>
  <c r="BH15" i="9"/>
  <c r="BH21" i="9"/>
  <c r="BH51" i="9"/>
  <c r="BH39" i="9"/>
  <c r="BH10" i="9"/>
  <c r="BH7" i="9"/>
  <c r="BH17" i="9"/>
  <c r="BH47" i="9"/>
  <c r="BH48" i="9"/>
  <c r="BH43" i="9"/>
  <c r="BH11" i="9"/>
  <c r="BH40" i="9"/>
  <c r="BH8" i="9"/>
  <c r="BH13" i="9"/>
  <c r="BH27" i="9"/>
  <c r="BH4" i="9"/>
  <c r="BH46" i="9"/>
  <c r="BH49" i="9"/>
  <c r="BH32" i="9"/>
  <c r="BH37" i="9"/>
  <c r="BH5" i="9"/>
  <c r="BH54" i="9"/>
  <c r="BH34" i="9"/>
  <c r="BH30" i="9"/>
  <c r="BH31" i="9"/>
  <c r="BH24" i="9"/>
  <c r="BH29" i="9"/>
  <c r="M114" i="3"/>
  <c r="BI7" i="9" s="1"/>
  <c r="BH50" i="9"/>
  <c r="BH26" i="9"/>
  <c r="BH22" i="9"/>
  <c r="BH23" i="9"/>
  <c r="BH20" i="9"/>
  <c r="U24" i="2"/>
  <c r="U34" i="2"/>
  <c r="W24" i="2"/>
  <c r="U26" i="8"/>
  <c r="V18" i="9"/>
  <c r="V29" i="9"/>
  <c r="V35" i="9"/>
  <c r="V30" i="9"/>
  <c r="U46" i="2"/>
  <c r="U54" i="2"/>
  <c r="U8" i="8"/>
  <c r="W41" i="8"/>
  <c r="U54" i="8"/>
  <c r="W36" i="8"/>
  <c r="U42" i="8"/>
  <c r="V14" i="9"/>
  <c r="V50" i="9"/>
  <c r="V21" i="9"/>
  <c r="X4" i="16"/>
  <c r="R4" i="16"/>
  <c r="U20" i="8"/>
  <c r="U37" i="8"/>
  <c r="V11" i="9"/>
  <c r="V46" i="9"/>
  <c r="V40" i="9"/>
  <c r="V34" i="9"/>
  <c r="V33" i="9"/>
  <c r="V16" i="9"/>
  <c r="V13" i="9"/>
  <c r="U51" i="8"/>
  <c r="V10" i="9"/>
  <c r="V22" i="9"/>
  <c r="V32" i="9"/>
  <c r="V9" i="9"/>
  <c r="V12" i="9"/>
  <c r="U30" i="8"/>
  <c r="U33" i="2"/>
  <c r="U36" i="8"/>
  <c r="U41" i="2"/>
  <c r="U42" i="2"/>
  <c r="W48" i="8"/>
  <c r="W37" i="8"/>
  <c r="U41" i="8"/>
  <c r="U35" i="8"/>
  <c r="W16" i="8"/>
  <c r="U19" i="2"/>
  <c r="W54" i="2"/>
  <c r="U31" i="8"/>
  <c r="U47" i="8"/>
  <c r="U45" i="2"/>
  <c r="U39" i="8"/>
  <c r="U15" i="2"/>
  <c r="W25" i="8"/>
  <c r="U39" i="2"/>
  <c r="U24" i="8"/>
  <c r="U10" i="2"/>
  <c r="U18" i="8"/>
  <c r="U16" i="8"/>
  <c r="U25" i="8"/>
  <c r="U46" i="8"/>
  <c r="U28" i="8"/>
  <c r="U29" i="8"/>
  <c r="U35" i="2"/>
  <c r="AE18" i="8"/>
  <c r="U33" i="8"/>
  <c r="U27" i="8"/>
  <c r="U22" i="8"/>
  <c r="U37" i="2"/>
  <c r="U21" i="2"/>
  <c r="U7" i="2"/>
  <c r="W19" i="8"/>
  <c r="W23" i="8"/>
  <c r="U15" i="8"/>
  <c r="U12" i="2"/>
  <c r="U48" i="8"/>
  <c r="W10" i="8"/>
  <c r="U14" i="8"/>
  <c r="U21" i="8"/>
  <c r="U50" i="2"/>
  <c r="AE26" i="8"/>
  <c r="W13" i="8"/>
  <c r="U53" i="2"/>
  <c r="U34" i="8"/>
  <c r="U11" i="2"/>
  <c r="U18" i="2"/>
  <c r="W22" i="8"/>
  <c r="W15" i="8"/>
  <c r="U43" i="2"/>
  <c r="W32" i="8"/>
  <c r="U48" i="2"/>
  <c r="U51" i="2"/>
  <c r="AE34" i="8"/>
  <c r="W53" i="8"/>
  <c r="W28" i="8"/>
  <c r="U52" i="2"/>
  <c r="U17" i="2"/>
  <c r="W39" i="2"/>
  <c r="U29" i="2"/>
  <c r="U44" i="2"/>
  <c r="U32" i="8"/>
  <c r="W43" i="8"/>
  <c r="W50" i="8"/>
  <c r="U13" i="2"/>
  <c r="U9" i="2"/>
  <c r="U47" i="2"/>
  <c r="U6" i="8"/>
  <c r="W46" i="8"/>
  <c r="U14" i="2"/>
  <c r="B26" i="8"/>
  <c r="F60" i="3" s="1"/>
  <c r="U8" i="2"/>
  <c r="W38" i="8"/>
  <c r="B27" i="2"/>
  <c r="B25" i="3" s="1"/>
  <c r="U30" i="2"/>
  <c r="U4" i="8"/>
  <c r="U22" i="2"/>
  <c r="U5" i="8"/>
  <c r="U12" i="8"/>
  <c r="W12" i="8"/>
  <c r="W17" i="8"/>
  <c r="U49" i="2"/>
  <c r="U10" i="8"/>
  <c r="AE53" i="8"/>
  <c r="U6" i="2"/>
  <c r="U36" i="2"/>
  <c r="U38" i="2"/>
  <c r="AE52" i="8"/>
  <c r="U44" i="8"/>
  <c r="U19" i="8"/>
  <c r="AE16" i="2"/>
  <c r="U16" i="2"/>
  <c r="U26" i="2"/>
  <c r="AA32" i="2"/>
  <c r="U32" i="2"/>
  <c r="U23" i="2"/>
  <c r="U40" i="8"/>
  <c r="W40" i="8"/>
  <c r="U52" i="8"/>
  <c r="W11" i="8"/>
  <c r="U53" i="8"/>
  <c r="BP24" i="2"/>
  <c r="BP26" i="2"/>
  <c r="BP53" i="2"/>
  <c r="BP21" i="2"/>
  <c r="BP13" i="2"/>
  <c r="BP41" i="2"/>
  <c r="BP44" i="2"/>
  <c r="BP37" i="2"/>
  <c r="BP20" i="2"/>
  <c r="BP43" i="2"/>
  <c r="BP29" i="2"/>
  <c r="BP51" i="2"/>
  <c r="BP49" i="2"/>
  <c r="BP14" i="2"/>
  <c r="BP12" i="2"/>
  <c r="BP22" i="2"/>
  <c r="BP10" i="2"/>
  <c r="BP33" i="2"/>
  <c r="BP25" i="2"/>
  <c r="BP35" i="2"/>
  <c r="BP28" i="2"/>
  <c r="BP15" i="2"/>
  <c r="BP31" i="2"/>
  <c r="BP47" i="2"/>
  <c r="BP23" i="2"/>
  <c r="BP16" i="2"/>
  <c r="BP32" i="2"/>
  <c r="BP17" i="2"/>
  <c r="BP5" i="2"/>
  <c r="BP40" i="2"/>
  <c r="BP52" i="2"/>
  <c r="BP46" i="2"/>
  <c r="BP38" i="2"/>
  <c r="BP42" i="2"/>
  <c r="BP30" i="2"/>
  <c r="BP6" i="2"/>
  <c r="BP9" i="2"/>
  <c r="BP19" i="2"/>
  <c r="BP36" i="2"/>
  <c r="BP54" i="2"/>
  <c r="BP27" i="2"/>
  <c r="BP18" i="2"/>
  <c r="BP7" i="2"/>
  <c r="BP34" i="2"/>
  <c r="BP4" i="2"/>
  <c r="BP50" i="2"/>
  <c r="BP39" i="2"/>
  <c r="BP8" i="2"/>
  <c r="BP45" i="2"/>
  <c r="BP11" i="2"/>
  <c r="BP48" i="2"/>
  <c r="U27" i="2"/>
  <c r="U17" i="8"/>
  <c r="W44" i="8"/>
  <c r="U38" i="8"/>
  <c r="AE54" i="8"/>
  <c r="U11" i="8"/>
  <c r="W29" i="8"/>
  <c r="U45" i="8"/>
  <c r="W45" i="8"/>
  <c r="U5" i="2"/>
  <c r="U23" i="8"/>
  <c r="U43" i="8"/>
  <c r="U9" i="8"/>
  <c r="U13" i="8"/>
  <c r="U25" i="2"/>
  <c r="BR32" i="2"/>
  <c r="BR53" i="2"/>
  <c r="BR15" i="2"/>
  <c r="BR4" i="2"/>
  <c r="BR18" i="2"/>
  <c r="BR22" i="2"/>
  <c r="BR49" i="2"/>
  <c r="BR39" i="2"/>
  <c r="BR23" i="2"/>
  <c r="BR19" i="2"/>
  <c r="BR34" i="2"/>
  <c r="BR47" i="2"/>
  <c r="BR21" i="2"/>
  <c r="BR36" i="2"/>
  <c r="BR46" i="2"/>
  <c r="BR30" i="2"/>
  <c r="BR10" i="2"/>
  <c r="BR38" i="2"/>
  <c r="BR7" i="2"/>
  <c r="BR13" i="2"/>
  <c r="BR44" i="2"/>
  <c r="BR33" i="2"/>
  <c r="BR26" i="2"/>
  <c r="BR6" i="2"/>
  <c r="BR43" i="2"/>
  <c r="BR28" i="2"/>
  <c r="BR8" i="2"/>
  <c r="BR40" i="2"/>
  <c r="BR35" i="2"/>
  <c r="BR48" i="2"/>
  <c r="BR50" i="2"/>
  <c r="BR24" i="2"/>
  <c r="BR29" i="2"/>
  <c r="BR42" i="2"/>
  <c r="BR25" i="2"/>
  <c r="BR9" i="2"/>
  <c r="BR54" i="2"/>
  <c r="BR51" i="2"/>
  <c r="BR41" i="2"/>
  <c r="BR45" i="2"/>
  <c r="BR31" i="2"/>
  <c r="BR5" i="2"/>
  <c r="BR16" i="2"/>
  <c r="BR37" i="2"/>
  <c r="BR12" i="2"/>
  <c r="BR52" i="2"/>
  <c r="BR27" i="2"/>
  <c r="BR14" i="2"/>
  <c r="BR20" i="2"/>
  <c r="BR17" i="2"/>
  <c r="BR11" i="2"/>
  <c r="BN40" i="2"/>
  <c r="BN50" i="2"/>
  <c r="BN11" i="2"/>
  <c r="BN44" i="2"/>
  <c r="BN47" i="2"/>
  <c r="BN22" i="2"/>
  <c r="BN41" i="2"/>
  <c r="BN14" i="2"/>
  <c r="BN24" i="2"/>
  <c r="BN31" i="2"/>
  <c r="BN16" i="2"/>
  <c r="BN52" i="2"/>
  <c r="BN33" i="2"/>
  <c r="BN51" i="2"/>
  <c r="BN5" i="2"/>
  <c r="BN49" i="2"/>
  <c r="BN38" i="2"/>
  <c r="BN23" i="2"/>
  <c r="BN39" i="2"/>
  <c r="BN36" i="2"/>
  <c r="BN25" i="2"/>
  <c r="BN26" i="2"/>
  <c r="BN4" i="2"/>
  <c r="BN7" i="2"/>
  <c r="BN48" i="2"/>
  <c r="BN37" i="2"/>
  <c r="BN54" i="2"/>
  <c r="BN9" i="2"/>
  <c r="BN27" i="2"/>
  <c r="BN42" i="2"/>
  <c r="BN32" i="2"/>
  <c r="BN21" i="2"/>
  <c r="BN34" i="2"/>
  <c r="BN46" i="2"/>
  <c r="BN20" i="2"/>
  <c r="BN15" i="2"/>
  <c r="BN17" i="2"/>
  <c r="BN29" i="2"/>
  <c r="BN8" i="2"/>
  <c r="BN19" i="2"/>
  <c r="BN28" i="2"/>
  <c r="BN45" i="2"/>
  <c r="BN13" i="2"/>
  <c r="BN53" i="2"/>
  <c r="BN12" i="2"/>
  <c r="BN43" i="2"/>
  <c r="BN6" i="2"/>
  <c r="BN10" i="2"/>
  <c r="BN30" i="2"/>
  <c r="BN18" i="2"/>
  <c r="BN35" i="2"/>
  <c r="BL45" i="2"/>
  <c r="BL20" i="2"/>
  <c r="BL37" i="2"/>
  <c r="BL22" i="2"/>
  <c r="BL10" i="2"/>
  <c r="BL42" i="2"/>
  <c r="BL54" i="2"/>
  <c r="BL27" i="2"/>
  <c r="BL6" i="2"/>
  <c r="BL24" i="2"/>
  <c r="BL25" i="2"/>
  <c r="BL50" i="2"/>
  <c r="BL18" i="2"/>
  <c r="BL11" i="2"/>
  <c r="BL32" i="2"/>
  <c r="BL16" i="2"/>
  <c r="BL34" i="2"/>
  <c r="BL48" i="2"/>
  <c r="BL51" i="2"/>
  <c r="BL9" i="2"/>
  <c r="BL7" i="2"/>
  <c r="BL30" i="2"/>
  <c r="BL4" i="2"/>
  <c r="BL46" i="2"/>
  <c r="BL43" i="2"/>
  <c r="BL49" i="2"/>
  <c r="BL31" i="2"/>
  <c r="BL17" i="2"/>
  <c r="BL14" i="2"/>
  <c r="BL38" i="2"/>
  <c r="BL47" i="2"/>
  <c r="BL15" i="2"/>
  <c r="BL21" i="2"/>
  <c r="BL12" i="2"/>
  <c r="BL5" i="2"/>
  <c r="BL53" i="2"/>
  <c r="BL13" i="2"/>
  <c r="BL39" i="2"/>
  <c r="BL40" i="2"/>
  <c r="BL41" i="2"/>
  <c r="BL36" i="2"/>
  <c r="BL23" i="2"/>
  <c r="BL52" i="2"/>
  <c r="BL29" i="2"/>
  <c r="BL44" i="2"/>
  <c r="BL8" i="2"/>
  <c r="BL26" i="2"/>
  <c r="BL33" i="2"/>
  <c r="BL19" i="2"/>
  <c r="BL28" i="2"/>
  <c r="BL35" i="2"/>
  <c r="U7" i="8"/>
  <c r="W7" i="8"/>
  <c r="U28" i="2"/>
  <c r="W18" i="8"/>
  <c r="W30" i="8"/>
  <c r="W14" i="8"/>
  <c r="B28" i="8"/>
  <c r="U50" i="8"/>
  <c r="AE21" i="8"/>
  <c r="U31" i="2"/>
  <c r="B29" i="2"/>
  <c r="W40" i="2"/>
  <c r="W42" i="8"/>
  <c r="W54" i="8"/>
  <c r="U20" i="2"/>
  <c r="W51" i="8"/>
  <c r="U49" i="8"/>
  <c r="W49" i="8"/>
  <c r="W39" i="8"/>
  <c r="BE5" i="9"/>
  <c r="BE9" i="9"/>
  <c r="BE13" i="9"/>
  <c r="BE17" i="9"/>
  <c r="BE21" i="9"/>
  <c r="BE25" i="9"/>
  <c r="BE29" i="9"/>
  <c r="BE33" i="9"/>
  <c r="BE37" i="9"/>
  <c r="BE41" i="9"/>
  <c r="BE45" i="9"/>
  <c r="BE49" i="9"/>
  <c r="BE8" i="9"/>
  <c r="BE12" i="9"/>
  <c r="BE16" i="9"/>
  <c r="BE20" i="9"/>
  <c r="BE24" i="9"/>
  <c r="BE28" i="9"/>
  <c r="BE32" i="9"/>
  <c r="BE36" i="9"/>
  <c r="BE40" i="9"/>
  <c r="BE44" i="9"/>
  <c r="BE48" i="9"/>
  <c r="BE52" i="9"/>
  <c r="BE54" i="9"/>
  <c r="BE18" i="9"/>
  <c r="BE26" i="9"/>
  <c r="BE47" i="9"/>
  <c r="BE50" i="9"/>
  <c r="BE51" i="9"/>
  <c r="BE11" i="9"/>
  <c r="BE19" i="9"/>
  <c r="BE27" i="9"/>
  <c r="BE35" i="9"/>
  <c r="BE53" i="9"/>
  <c r="BE42" i="9"/>
  <c r="BE7" i="9"/>
  <c r="BE15" i="9"/>
  <c r="BE23" i="9"/>
  <c r="BE31" i="9"/>
  <c r="BE39" i="9"/>
  <c r="BE6" i="9"/>
  <c r="BE14" i="9"/>
  <c r="BE22" i="9"/>
  <c r="BE30" i="9"/>
  <c r="BE38" i="9"/>
  <c r="BE43" i="9"/>
  <c r="BE46" i="9"/>
  <c r="BE10" i="9"/>
  <c r="BE34" i="9"/>
  <c r="BC8" i="9"/>
  <c r="BC12" i="9"/>
  <c r="BC16" i="9"/>
  <c r="BC20" i="9"/>
  <c r="BC24" i="9"/>
  <c r="BC28" i="9"/>
  <c r="BC32" i="9"/>
  <c r="BC36" i="9"/>
  <c r="BC40" i="9"/>
  <c r="BC44" i="9"/>
  <c r="BC48" i="9"/>
  <c r="BC52" i="9"/>
  <c r="BC7" i="9"/>
  <c r="BC11" i="9"/>
  <c r="BC15" i="9"/>
  <c r="BC19" i="9"/>
  <c r="BC23" i="9"/>
  <c r="BC27" i="9"/>
  <c r="BC31" i="9"/>
  <c r="BC35" i="9"/>
  <c r="BC39" i="9"/>
  <c r="BC43" i="9"/>
  <c r="BC47" i="9"/>
  <c r="BC51" i="9"/>
  <c r="BC53" i="9"/>
  <c r="BC25" i="9"/>
  <c r="BC10" i="9"/>
  <c r="BC18" i="9"/>
  <c r="BC26" i="9"/>
  <c r="BC34" i="9"/>
  <c r="BC9" i="9"/>
  <c r="BC17" i="9"/>
  <c r="BC33" i="9"/>
  <c r="BC42" i="9"/>
  <c r="BC45" i="9"/>
  <c r="BC46" i="9"/>
  <c r="BC49" i="9"/>
  <c r="BC6" i="9"/>
  <c r="BC14" i="9"/>
  <c r="BC22" i="9"/>
  <c r="BC30" i="9"/>
  <c r="BC38" i="9"/>
  <c r="BC54" i="9"/>
  <c r="BC5" i="9"/>
  <c r="BC13" i="9"/>
  <c r="BC21" i="9"/>
  <c r="BC29" i="9"/>
  <c r="BC37" i="9"/>
  <c r="BC50" i="9"/>
  <c r="BC41" i="9"/>
  <c r="BG6" i="9"/>
  <c r="BG10" i="9"/>
  <c r="BG14" i="9"/>
  <c r="BG18" i="9"/>
  <c r="BG22" i="9"/>
  <c r="BG26" i="9"/>
  <c r="BG30" i="9"/>
  <c r="BG34" i="9"/>
  <c r="BG38" i="9"/>
  <c r="BG42" i="9"/>
  <c r="BG46" i="9"/>
  <c r="BG50" i="9"/>
  <c r="BG5" i="9"/>
  <c r="BG9" i="9"/>
  <c r="BG13" i="9"/>
  <c r="BG17" i="9"/>
  <c r="BG21" i="9"/>
  <c r="BG25" i="9"/>
  <c r="BG29" i="9"/>
  <c r="BG33" i="9"/>
  <c r="BG37" i="9"/>
  <c r="BG41" i="9"/>
  <c r="BG45" i="9"/>
  <c r="BG49" i="9"/>
  <c r="BG35" i="9"/>
  <c r="BG44" i="9"/>
  <c r="BG47" i="9"/>
  <c r="BG43" i="9"/>
  <c r="BG12" i="9"/>
  <c r="BG20" i="9"/>
  <c r="BG28" i="9"/>
  <c r="BG36" i="9"/>
  <c r="BG54" i="9"/>
  <c r="BG11" i="9"/>
  <c r="BG19" i="9"/>
  <c r="BG48" i="9"/>
  <c r="BG51" i="9"/>
  <c r="BG8" i="9"/>
  <c r="BG16" i="9"/>
  <c r="BG24" i="9"/>
  <c r="BG32" i="9"/>
  <c r="BG40" i="9"/>
  <c r="BG7" i="9"/>
  <c r="BG15" i="9"/>
  <c r="BG23" i="9"/>
  <c r="BG31" i="9"/>
  <c r="BG39" i="9"/>
  <c r="BG52" i="9"/>
  <c r="BG27" i="9"/>
  <c r="BG53" i="9"/>
  <c r="AA40" i="2"/>
  <c r="U40" i="2"/>
  <c r="BE4" i="9"/>
  <c r="BC4" i="9"/>
  <c r="BG4" i="9"/>
  <c r="B135" i="3"/>
  <c r="B29" i="16"/>
  <c r="B33" i="26" s="1"/>
  <c r="DP10" i="9" l="1"/>
  <c r="V8" i="9"/>
  <c r="DO12" i="9"/>
  <c r="DX16" i="9"/>
  <c r="DP53" i="9"/>
  <c r="DR20" i="9"/>
  <c r="V5" i="9"/>
  <c r="CX24" i="9"/>
  <c r="DV9" i="9"/>
  <c r="DP4" i="9"/>
  <c r="CX36" i="9"/>
  <c r="DS55" i="9"/>
  <c r="DO24" i="9"/>
  <c r="DW4" i="9"/>
  <c r="DP14" i="9"/>
  <c r="DX5" i="9"/>
  <c r="DX28" i="9"/>
  <c r="DW46" i="9"/>
  <c r="DW19" i="9"/>
  <c r="DO25" i="9"/>
  <c r="DW54" i="9"/>
  <c r="DQ20" i="9"/>
  <c r="DR14" i="9"/>
  <c r="DP11" i="9"/>
  <c r="DR22" i="9"/>
  <c r="V7" i="9"/>
  <c r="V26" i="9"/>
  <c r="DW47" i="9"/>
  <c r="DQ5" i="9"/>
  <c r="DQ35" i="9"/>
  <c r="DW33" i="9"/>
  <c r="DO38" i="9"/>
  <c r="DR35" i="9"/>
  <c r="DP18" i="9"/>
  <c r="DX27" i="9"/>
  <c r="DP21" i="9"/>
  <c r="DV48" i="9"/>
  <c r="DR48" i="9"/>
  <c r="DP49" i="9"/>
  <c r="DR41" i="9"/>
  <c r="DP58" i="9"/>
  <c r="V49" i="9"/>
  <c r="CX52" i="9"/>
  <c r="V24" i="9"/>
  <c r="V23" i="9"/>
  <c r="CX4" i="9"/>
  <c r="DU6" i="9"/>
  <c r="DQ43" i="9"/>
  <c r="DV20" i="9"/>
  <c r="DP36" i="9"/>
  <c r="DR54" i="9"/>
  <c r="DP29" i="9"/>
  <c r="DP33" i="9"/>
  <c r="DP23" i="9"/>
  <c r="DR32" i="9"/>
  <c r="V47" i="9"/>
  <c r="V4" i="9"/>
  <c r="CX50" i="9"/>
  <c r="DM51" i="9"/>
  <c r="DW53" i="9"/>
  <c r="DW25" i="9"/>
  <c r="DQ13" i="9"/>
  <c r="DQ37" i="9"/>
  <c r="DS38" i="9"/>
  <c r="DV50" i="9"/>
  <c r="DX59" i="9"/>
  <c r="DR37" i="9"/>
  <c r="DP37" i="9"/>
  <c r="DX15" i="9"/>
  <c r="DP15" i="9"/>
  <c r="V15" i="9"/>
  <c r="V43" i="9"/>
  <c r="DS52" i="9"/>
  <c r="DR40" i="9"/>
  <c r="DW17" i="9"/>
  <c r="DO48" i="9"/>
  <c r="DP24" i="9"/>
  <c r="DX49" i="9"/>
  <c r="CX12" i="9"/>
  <c r="CX43" i="9"/>
  <c r="DP13" i="9"/>
  <c r="V39" i="9"/>
  <c r="DM43" i="9"/>
  <c r="DS5" i="9"/>
  <c r="DO55" i="9"/>
  <c r="DQ11" i="9"/>
  <c r="DW8" i="9"/>
  <c r="DX17" i="9"/>
  <c r="DX39" i="9"/>
  <c r="DP5" i="9"/>
  <c r="DR8" i="9"/>
  <c r="DP40" i="9"/>
  <c r="DQ16" i="9"/>
  <c r="DO36" i="9"/>
  <c r="DW44" i="9"/>
  <c r="DS32" i="9"/>
  <c r="DP12" i="9"/>
  <c r="DR45" i="9"/>
  <c r="DR19" i="9"/>
  <c r="DP47" i="9"/>
  <c r="DX11" i="9"/>
  <c r="DV7" i="9"/>
  <c r="DV19" i="9"/>
  <c r="CX41" i="9"/>
  <c r="DW50" i="9"/>
  <c r="DU40" i="9"/>
  <c r="DM13" i="9"/>
  <c r="DO37" i="9"/>
  <c r="DR26" i="9"/>
  <c r="DO5" i="9"/>
  <c r="DS29" i="9"/>
  <c r="DR53" i="9"/>
  <c r="DP55" i="9"/>
  <c r="DP35" i="9"/>
  <c r="DX6" i="9"/>
  <c r="V44" i="9"/>
  <c r="DO31" i="9"/>
  <c r="DQ7" i="9"/>
  <c r="DR58" i="9"/>
  <c r="V41" i="9"/>
  <c r="DQ31" i="9"/>
  <c r="DS18" i="9"/>
  <c r="DW30" i="9"/>
  <c r="DW57" i="9"/>
  <c r="DX25" i="9"/>
  <c r="DR4" i="9"/>
  <c r="CX46" i="9"/>
  <c r="CX13" i="9"/>
  <c r="DO42" i="9"/>
  <c r="DM4" i="9"/>
  <c r="DM23" i="9"/>
  <c r="DO51" i="9"/>
  <c r="DR13" i="9"/>
  <c r="CT18" i="9"/>
  <c r="CU18" i="9" s="1"/>
  <c r="CV18" i="9" s="1"/>
  <c r="DQ24" i="9"/>
  <c r="DW29" i="9"/>
  <c r="DM35" i="9"/>
  <c r="DQ26" i="9"/>
  <c r="DM41" i="9"/>
  <c r="DX23" i="9"/>
  <c r="DP16" i="9"/>
  <c r="DX38" i="9"/>
  <c r="DP57" i="9"/>
  <c r="CX39" i="9"/>
  <c r="CX54" i="9"/>
  <c r="CX15" i="9"/>
  <c r="DM31" i="9"/>
  <c r="DM14" i="9"/>
  <c r="DM7" i="9"/>
  <c r="DM17" i="9"/>
  <c r="DM25" i="9"/>
  <c r="DW28" i="9"/>
  <c r="DW49" i="9"/>
  <c r="DX55" i="9"/>
  <c r="DR24" i="9"/>
  <c r="DP26" i="9"/>
  <c r="DR34" i="9"/>
  <c r="DR50" i="9"/>
  <c r="DX42" i="9"/>
  <c r="DV38" i="9"/>
  <c r="DR44" i="9"/>
  <c r="V28" i="9"/>
  <c r="DQ14" i="9"/>
  <c r="DS36" i="9"/>
  <c r="DP39" i="9"/>
  <c r="DR36" i="9"/>
  <c r="DR33" i="9"/>
  <c r="CX17" i="9"/>
  <c r="V17" i="9"/>
  <c r="V45" i="9"/>
  <c r="CX25" i="9"/>
  <c r="DQ58" i="9"/>
  <c r="DS11" i="9"/>
  <c r="DO17" i="9"/>
  <c r="DW52" i="9"/>
  <c r="V51" i="9"/>
  <c r="CX16" i="9"/>
  <c r="CX42" i="9"/>
  <c r="DQ34" i="9"/>
  <c r="DW48" i="9"/>
  <c r="DW12" i="9"/>
  <c r="DM48" i="9"/>
  <c r="DU15" i="9"/>
  <c r="DV46" i="9"/>
  <c r="DQ21" i="9"/>
  <c r="V37" i="9"/>
  <c r="DO52" i="9"/>
  <c r="DO56" i="9"/>
  <c r="V19" i="9"/>
  <c r="CX26" i="9"/>
  <c r="CX31" i="9"/>
  <c r="DQ55" i="9"/>
  <c r="DQ18" i="9"/>
  <c r="DO30" i="9"/>
  <c r="DQ41" i="9"/>
  <c r="DU21" i="9"/>
  <c r="DU44" i="9"/>
  <c r="DU58" i="9"/>
  <c r="DP17" i="9"/>
  <c r="DP30" i="9"/>
  <c r="V42" i="9"/>
  <c r="DS39" i="9"/>
  <c r="B132" i="9"/>
  <c r="B241" i="23" s="1"/>
  <c r="B243" i="23" s="1"/>
  <c r="DW36" i="9"/>
  <c r="CX28" i="9"/>
  <c r="CX7" i="9"/>
  <c r="DS21" i="9"/>
  <c r="DU50" i="9"/>
  <c r="V20" i="9"/>
  <c r="V25" i="9"/>
  <c r="CX27" i="9"/>
  <c r="DU7" i="9"/>
  <c r="DO14" i="9"/>
  <c r="DS27" i="9"/>
  <c r="DM45" i="9"/>
  <c r="DM47" i="9"/>
  <c r="DU33" i="9"/>
  <c r="DS40" i="9"/>
  <c r="DU59" i="9"/>
  <c r="CT48" i="9"/>
  <c r="CU48" i="9" s="1"/>
  <c r="CV48" i="9" s="1"/>
  <c r="CX51" i="9"/>
  <c r="CX48" i="9"/>
  <c r="CX20" i="9"/>
  <c r="V53" i="9"/>
  <c r="V38" i="9"/>
  <c r="CX19" i="9"/>
  <c r="DO46" i="9"/>
  <c r="DS15" i="9"/>
  <c r="DM33" i="9"/>
  <c r="DU4" i="9"/>
  <c r="DO9" i="9"/>
  <c r="DS58" i="9"/>
  <c r="DO10" i="9"/>
  <c r="DM46" i="9"/>
  <c r="DM24" i="9"/>
  <c r="DS19" i="9"/>
  <c r="DO41" i="9"/>
  <c r="DS54" i="9"/>
  <c r="CX53" i="9"/>
  <c r="DS22" i="9"/>
  <c r="V31" i="9"/>
  <c r="V36" i="9"/>
  <c r="V6" i="9"/>
  <c r="DS50" i="9"/>
  <c r="DS12" i="9"/>
  <c r="DS59" i="9"/>
  <c r="DM6" i="9"/>
  <c r="DS53" i="9"/>
  <c r="DU23" i="9"/>
  <c r="DS34" i="9"/>
  <c r="DM49" i="9"/>
  <c r="DO32" i="9"/>
  <c r="DO27" i="9"/>
  <c r="DO18" i="9"/>
  <c r="V27" i="9"/>
  <c r="DO34" i="9"/>
  <c r="DO45" i="9"/>
  <c r="DO43" i="9"/>
  <c r="DM44" i="9"/>
  <c r="DM16" i="9"/>
  <c r="DO20" i="9"/>
  <c r="V52" i="9"/>
  <c r="V48" i="9"/>
  <c r="DO29" i="9"/>
  <c r="CX49" i="9"/>
  <c r="DU19" i="9"/>
  <c r="DU16" i="9"/>
  <c r="DU13" i="9"/>
  <c r="DU11" i="9"/>
  <c r="V54" i="9"/>
  <c r="CX18" i="9"/>
  <c r="DU35" i="9"/>
  <c r="DU26" i="9"/>
  <c r="DM57" i="9"/>
  <c r="DU49" i="9"/>
  <c r="DS56" i="9"/>
  <c r="B27" i="9"/>
  <c r="B67" i="9" s="1"/>
  <c r="B81" i="23" s="1"/>
  <c r="CX6" i="9"/>
  <c r="DM28" i="9"/>
  <c r="DS26" i="9"/>
  <c r="DM30" i="9"/>
  <c r="DO54" i="9"/>
  <c r="DO53" i="9"/>
  <c r="DM10" i="9"/>
  <c r="DU28" i="9"/>
  <c r="DU47" i="9"/>
  <c r="DO57" i="9"/>
  <c r="DM20" i="9"/>
  <c r="DS42" i="9"/>
  <c r="DO39" i="9"/>
  <c r="DM8" i="9"/>
  <c r="B29" i="9"/>
  <c r="B32" i="23" s="1"/>
  <c r="BI12" i="9"/>
  <c r="BI38" i="9"/>
  <c r="BI6" i="9"/>
  <c r="BI24" i="9"/>
  <c r="BI23" i="9"/>
  <c r="BI8" i="9"/>
  <c r="BI9" i="9"/>
  <c r="BI47" i="9"/>
  <c r="BI36" i="9"/>
  <c r="BI33" i="9"/>
  <c r="BI50" i="9"/>
  <c r="BI35" i="9"/>
  <c r="BI25" i="9"/>
  <c r="BI46" i="9"/>
  <c r="BI31" i="9"/>
  <c r="BI28" i="9"/>
  <c r="BI30" i="9"/>
  <c r="BI15" i="9"/>
  <c r="BI45" i="9"/>
  <c r="BI21" i="9"/>
  <c r="BI18" i="9"/>
  <c r="BI40" i="9"/>
  <c r="BI13" i="9"/>
  <c r="BI14" i="9"/>
  <c r="B63" i="3"/>
  <c r="BI32" i="9"/>
  <c r="BI17" i="9"/>
  <c r="BI5" i="9"/>
  <c r="BI42" i="9"/>
  <c r="BI10" i="9"/>
  <c r="BI27" i="9"/>
  <c r="BI16" i="9"/>
  <c r="BI44" i="9"/>
  <c r="BI20" i="9"/>
  <c r="BI34" i="9"/>
  <c r="BI51" i="9"/>
  <c r="BI19" i="9"/>
  <c r="BI54" i="9"/>
  <c r="BI53" i="9"/>
  <c r="BI37" i="9"/>
  <c r="BI52" i="9"/>
  <c r="BI26" i="9"/>
  <c r="BI43" i="9"/>
  <c r="BI11" i="9"/>
  <c r="BI4" i="9"/>
  <c r="BI48" i="9"/>
  <c r="BI41" i="9"/>
  <c r="BI29" i="9"/>
  <c r="BI49" i="9"/>
  <c r="BI22" i="9"/>
  <c r="BI39" i="9"/>
  <c r="B27" i="3"/>
  <c r="B30" i="8"/>
  <c r="B31" i="8" s="1"/>
  <c r="E64" i="3" s="1"/>
  <c r="H64" i="3" s="1"/>
  <c r="B31" i="2"/>
  <c r="B31" i="9" l="1"/>
  <c r="B35" i="9" s="1"/>
  <c r="B98" i="3"/>
  <c r="B96" i="3"/>
  <c r="B30" i="23"/>
  <c r="H27" i="9" s="1"/>
  <c r="I27" i="9" s="1"/>
  <c r="J27" i="9" s="1"/>
  <c r="C69" i="1" s="1"/>
  <c r="B33" i="8"/>
  <c r="E66" i="3" s="1"/>
  <c r="H66" i="3" s="1"/>
  <c r="B74" i="3" s="1"/>
  <c r="B34" i="8"/>
  <c r="E67" i="3" s="1"/>
  <c r="B36" i="8"/>
  <c r="E69" i="3" s="1"/>
  <c r="B32" i="8"/>
  <c r="E65" i="3" s="1"/>
  <c r="H65" i="3" s="1"/>
  <c r="G73" i="3" s="1"/>
  <c r="J73" i="3" s="1"/>
  <c r="B35" i="8"/>
  <c r="E68" i="3" s="1"/>
  <c r="B37" i="8"/>
  <c r="E70" i="3" s="1"/>
  <c r="B50" i="3"/>
  <c r="E48" i="3" s="1"/>
  <c r="B57" i="3" s="1"/>
  <c r="B18" i="3"/>
  <c r="E11" i="3" s="1"/>
  <c r="B37" i="2"/>
  <c r="E33" i="3" s="1"/>
  <c r="B38" i="2"/>
  <c r="E34" i="3" s="1"/>
  <c r="B36" i="2"/>
  <c r="E32" i="3" s="1"/>
  <c r="B33" i="2"/>
  <c r="E29" i="3" s="1"/>
  <c r="B37" i="3" s="1"/>
  <c r="D37" i="3" s="1"/>
  <c r="B32" i="2"/>
  <c r="E28" i="3" s="1"/>
  <c r="B36" i="3" s="1"/>
  <c r="G36" i="3" s="1"/>
  <c r="B35" i="2"/>
  <c r="E31" i="3" s="1"/>
  <c r="B34" i="2"/>
  <c r="E30" i="3" s="1"/>
  <c r="B38" i="3" s="1"/>
  <c r="G38" i="3" s="1"/>
  <c r="J38" i="3" s="1"/>
  <c r="B72" i="3"/>
  <c r="G72" i="3"/>
  <c r="B31" i="16"/>
  <c r="B37" i="9" l="1"/>
  <c r="E104" i="3" s="1"/>
  <c r="B89" i="3"/>
  <c r="E82" i="3" s="1"/>
  <c r="F87" i="3" s="1"/>
  <c r="B34" i="9"/>
  <c r="B38" i="9"/>
  <c r="E105" i="3" s="1"/>
  <c r="B36" i="9"/>
  <c r="B39" i="9"/>
  <c r="E106" i="3" s="1"/>
  <c r="B115" i="3" s="1"/>
  <c r="G115" i="3" s="1"/>
  <c r="B32" i="9"/>
  <c r="E99" i="3" s="1"/>
  <c r="B33" i="9"/>
  <c r="E100" i="3" s="1"/>
  <c r="B38" i="23"/>
  <c r="B33" i="16"/>
  <c r="B32" i="16"/>
  <c r="B39" i="16"/>
  <c r="E143" i="3" s="1"/>
  <c r="B152" i="3" s="1"/>
  <c r="B38" i="16"/>
  <c r="E142" i="3" s="1"/>
  <c r="B36" i="16"/>
  <c r="E140" i="3" s="1"/>
  <c r="B37" i="16"/>
  <c r="E141" i="3" s="1"/>
  <c r="B35" i="16"/>
  <c r="E139" i="3" s="1"/>
  <c r="B34" i="16"/>
  <c r="E138" i="3" s="1"/>
  <c r="B147" i="3" s="1"/>
  <c r="B55" i="3"/>
  <c r="B56" i="3"/>
  <c r="B58" i="3"/>
  <c r="G37" i="3"/>
  <c r="J37" i="3" s="1"/>
  <c r="D36" i="3"/>
  <c r="G74" i="3"/>
  <c r="J74" i="3" s="1"/>
  <c r="BI10" i="8" s="1"/>
  <c r="B59" i="3"/>
  <c r="B73" i="3"/>
  <c r="D38" i="3"/>
  <c r="M38" i="3"/>
  <c r="BI8" i="2"/>
  <c r="BI5" i="2"/>
  <c r="BI9" i="2"/>
  <c r="BI10" i="2"/>
  <c r="BI11" i="2"/>
  <c r="BI15" i="2"/>
  <c r="BI19" i="2"/>
  <c r="BI23" i="2"/>
  <c r="BI27" i="2"/>
  <c r="BI31" i="2"/>
  <c r="BI35" i="2"/>
  <c r="BI39" i="2"/>
  <c r="BI18" i="2"/>
  <c r="BI20" i="2"/>
  <c r="BI25" i="2"/>
  <c r="BI14" i="2"/>
  <c r="BI16" i="2"/>
  <c r="BI21" i="2"/>
  <c r="BI12" i="2"/>
  <c r="BI17" i="2"/>
  <c r="BI6" i="2"/>
  <c r="BI7" i="2"/>
  <c r="BI34" i="2"/>
  <c r="BI36" i="2"/>
  <c r="BI41" i="2"/>
  <c r="BI4" i="2"/>
  <c r="BI33" i="2"/>
  <c r="BI40" i="2"/>
  <c r="BI50" i="2"/>
  <c r="BI51" i="2"/>
  <c r="BI52" i="2"/>
  <c r="BI46" i="2"/>
  <c r="BI47" i="2"/>
  <c r="BI48" i="2"/>
  <c r="BI53" i="2"/>
  <c r="BI30" i="2"/>
  <c r="BI32" i="2"/>
  <c r="BI38" i="2"/>
  <c r="BI24" i="2"/>
  <c r="BI26" i="2"/>
  <c r="BI28" i="2"/>
  <c r="BI22" i="2"/>
  <c r="BI29" i="2"/>
  <c r="BI37" i="2"/>
  <c r="BI54" i="2"/>
  <c r="BI42" i="2"/>
  <c r="BI43" i="2"/>
  <c r="BI44" i="2"/>
  <c r="BI49" i="2"/>
  <c r="BI13" i="2"/>
  <c r="BI45" i="2"/>
  <c r="BG7" i="8"/>
  <c r="BG11" i="8"/>
  <c r="BG15" i="8"/>
  <c r="BG19" i="8"/>
  <c r="BG9" i="8"/>
  <c r="BG5" i="8"/>
  <c r="BG10" i="8"/>
  <c r="BG17" i="8"/>
  <c r="BG38" i="8"/>
  <c r="BG39" i="8"/>
  <c r="BG6" i="8"/>
  <c r="BG13" i="8"/>
  <c r="BG34" i="8"/>
  <c r="BG35" i="8"/>
  <c r="BG12" i="8"/>
  <c r="BG22" i="8"/>
  <c r="BG23" i="8"/>
  <c r="BG28" i="8"/>
  <c r="BG29" i="8"/>
  <c r="BG8" i="8"/>
  <c r="BG24" i="8"/>
  <c r="BG25" i="8"/>
  <c r="BG41" i="8"/>
  <c r="BG42" i="8"/>
  <c r="BG21" i="8"/>
  <c r="BG43" i="8"/>
  <c r="BG20" i="8"/>
  <c r="BG44" i="8"/>
  <c r="BG16" i="8"/>
  <c r="BG50" i="8"/>
  <c r="BG51" i="8"/>
  <c r="BG54" i="8"/>
  <c r="BG30" i="8"/>
  <c r="BG36" i="8"/>
  <c r="BG40" i="8"/>
  <c r="BG46" i="8"/>
  <c r="BG47" i="8"/>
  <c r="BG52" i="8"/>
  <c r="BG53" i="8"/>
  <c r="BG45" i="8"/>
  <c r="BG18" i="8"/>
  <c r="BG31" i="8"/>
  <c r="BG33" i="8"/>
  <c r="BG37" i="8"/>
  <c r="BG4" i="8"/>
  <c r="BG14" i="8"/>
  <c r="BG27" i="8"/>
  <c r="BG48" i="8"/>
  <c r="BG32" i="8"/>
  <c r="BG49" i="8"/>
  <c r="BG26" i="8"/>
  <c r="F17" i="3"/>
  <c r="F16" i="3"/>
  <c r="F14" i="3"/>
  <c r="F19" i="3"/>
  <c r="F18" i="3"/>
  <c r="F15" i="3"/>
  <c r="B54" i="3"/>
  <c r="J36" i="3"/>
  <c r="M36" i="3" s="1"/>
  <c r="J72" i="3"/>
  <c r="M73" i="3"/>
  <c r="B126" i="3"/>
  <c r="E119" i="3" s="1"/>
  <c r="F124" i="3" s="1"/>
  <c r="E103" i="3"/>
  <c r="E101" i="3"/>
  <c r="E102" i="3"/>
  <c r="F86" i="3" l="1"/>
  <c r="F85" i="3"/>
  <c r="F89" i="3"/>
  <c r="F90" i="3"/>
  <c r="F88" i="3"/>
  <c r="D115" i="3"/>
  <c r="M74" i="3"/>
  <c r="BJ14" i="8" s="1"/>
  <c r="BI50" i="8"/>
  <c r="BI39" i="8"/>
  <c r="BI43" i="8"/>
  <c r="BI9" i="8"/>
  <c r="BI8" i="8"/>
  <c r="G152" i="3"/>
  <c r="D152" i="3"/>
  <c r="BI24" i="8"/>
  <c r="BI4" i="8"/>
  <c r="BI28" i="8"/>
  <c r="BI27" i="8"/>
  <c r="BI48" i="8"/>
  <c r="BI22" i="8"/>
  <c r="BI32" i="8"/>
  <c r="BI29" i="8"/>
  <c r="BI31" i="8"/>
  <c r="BI7" i="8"/>
  <c r="BI17" i="8"/>
  <c r="BI36" i="8"/>
  <c r="BI42" i="8"/>
  <c r="BI14" i="8"/>
  <c r="BI53" i="8"/>
  <c r="BI23" i="8"/>
  <c r="BI41" i="8"/>
  <c r="BI44" i="8"/>
  <c r="BI16" i="8"/>
  <c r="BI6" i="8"/>
  <c r="BI34" i="8"/>
  <c r="BI47" i="8"/>
  <c r="BI19" i="8"/>
  <c r="BI25" i="8"/>
  <c r="BI40" i="8"/>
  <c r="BI21" i="8"/>
  <c r="BI5" i="8"/>
  <c r="BI51" i="8"/>
  <c r="BI46" i="8"/>
  <c r="BI15" i="8"/>
  <c r="BI33" i="8"/>
  <c r="BI37" i="8"/>
  <c r="BI18" i="8"/>
  <c r="BI12" i="8"/>
  <c r="BI35" i="8"/>
  <c r="BI54" i="8"/>
  <c r="BI45" i="8"/>
  <c r="BI26" i="8"/>
  <c r="BI30" i="8"/>
  <c r="BI13" i="8"/>
  <c r="BI11" i="8"/>
  <c r="BI38" i="8"/>
  <c r="BI49" i="8"/>
  <c r="BI52" i="8"/>
  <c r="BI20" i="8"/>
  <c r="BF4" i="2"/>
  <c r="BF14" i="2"/>
  <c r="BF42" i="2"/>
  <c r="BF53" i="2"/>
  <c r="BF50" i="2"/>
  <c r="BF9" i="2"/>
  <c r="BF15" i="2"/>
  <c r="BF25" i="2"/>
  <c r="BF10" i="2"/>
  <c r="BF46" i="2"/>
  <c r="BF20" i="2"/>
  <c r="BF27" i="2"/>
  <c r="BF29" i="2"/>
  <c r="BF19" i="2"/>
  <c r="BF8" i="2"/>
  <c r="BF11" i="2"/>
  <c r="BF38" i="2"/>
  <c r="BF34" i="2"/>
  <c r="BF30" i="2"/>
  <c r="BF44" i="2"/>
  <c r="BF48" i="2"/>
  <c r="BF35" i="2"/>
  <c r="BF26" i="2"/>
  <c r="BF32" i="2"/>
  <c r="BF49" i="2"/>
  <c r="BF43" i="2"/>
  <c r="BF7" i="2"/>
  <c r="BF16" i="2"/>
  <c r="BF41" i="2"/>
  <c r="BF47" i="2"/>
  <c r="BF36" i="2"/>
  <c r="BF18" i="2"/>
  <c r="BF51" i="2"/>
  <c r="BF13" i="2"/>
  <c r="BF54" i="2"/>
  <c r="BF31" i="2"/>
  <c r="BF28" i="2"/>
  <c r="BF17" i="2"/>
  <c r="BF37" i="2"/>
  <c r="BF5" i="2"/>
  <c r="BF39" i="2"/>
  <c r="BF22" i="2"/>
  <c r="BF21" i="2"/>
  <c r="BF33" i="2"/>
  <c r="BF24" i="2"/>
  <c r="BF6" i="2"/>
  <c r="BF52" i="2"/>
  <c r="BF40" i="2"/>
  <c r="BF12" i="2"/>
  <c r="BF23" i="2"/>
  <c r="BF45" i="2"/>
  <c r="M37" i="3"/>
  <c r="BG9" i="2"/>
  <c r="BG10" i="2"/>
  <c r="BG11" i="2"/>
  <c r="BG12" i="2"/>
  <c r="BG17" i="2"/>
  <c r="BG13" i="2"/>
  <c r="BG6" i="2"/>
  <c r="BG7" i="2"/>
  <c r="BG5" i="2"/>
  <c r="BG26" i="2"/>
  <c r="BG27" i="2"/>
  <c r="BG28" i="2"/>
  <c r="BG33" i="2"/>
  <c r="BG44" i="2"/>
  <c r="BG48" i="2"/>
  <c r="BG52" i="2"/>
  <c r="BG39" i="2"/>
  <c r="BG43" i="2"/>
  <c r="BG49" i="2"/>
  <c r="BG4" i="2"/>
  <c r="BG35" i="2"/>
  <c r="BG42" i="2"/>
  <c r="BG45" i="2"/>
  <c r="BG22" i="2"/>
  <c r="BG23" i="2"/>
  <c r="BG24" i="2"/>
  <c r="BG29" i="2"/>
  <c r="BG15" i="2"/>
  <c r="BG21" i="2"/>
  <c r="BG18" i="2"/>
  <c r="BG19" i="2"/>
  <c r="BG20" i="2"/>
  <c r="BG25" i="2"/>
  <c r="BG41" i="2"/>
  <c r="BG54" i="2"/>
  <c r="BG14" i="2"/>
  <c r="BG16" i="2"/>
  <c r="BG8" i="2"/>
  <c r="BG36" i="2"/>
  <c r="BG46" i="2"/>
  <c r="BG47" i="2"/>
  <c r="BG53" i="2"/>
  <c r="BG32" i="2"/>
  <c r="BG40" i="2"/>
  <c r="BG34" i="2"/>
  <c r="BG30" i="2"/>
  <c r="BG37" i="2"/>
  <c r="BG50" i="2"/>
  <c r="BG38" i="2"/>
  <c r="BG31" i="2"/>
  <c r="BG51" i="2"/>
  <c r="M72" i="3"/>
  <c r="BE21" i="8"/>
  <c r="BE24" i="8"/>
  <c r="BE47" i="8"/>
  <c r="BE33" i="8"/>
  <c r="BE8" i="8"/>
  <c r="BE27" i="8"/>
  <c r="BE20" i="8"/>
  <c r="BE5" i="8"/>
  <c r="BE45" i="8"/>
  <c r="BE31" i="8"/>
  <c r="BE35" i="8"/>
  <c r="BE49" i="8"/>
  <c r="BE9" i="8"/>
  <c r="BE36" i="8"/>
  <c r="BE26" i="8"/>
  <c r="BE52" i="8"/>
  <c r="BE6" i="8"/>
  <c r="BE34" i="8"/>
  <c r="BE13" i="8"/>
  <c r="BE54" i="8"/>
  <c r="BE23" i="8"/>
  <c r="BE14" i="8"/>
  <c r="BE15" i="8"/>
  <c r="BE19" i="8"/>
  <c r="BE37" i="8"/>
  <c r="BE18" i="8"/>
  <c r="BE17" i="8"/>
  <c r="BE29" i="8"/>
  <c r="BE11" i="8"/>
  <c r="BE41" i="8"/>
  <c r="BE53" i="8"/>
  <c r="BE10" i="8"/>
  <c r="BE12" i="8"/>
  <c r="BE42" i="8"/>
  <c r="BE50" i="8"/>
  <c r="BE39" i="8"/>
  <c r="BE51" i="8"/>
  <c r="BE25" i="8"/>
  <c r="BE43" i="8"/>
  <c r="BE7" i="8"/>
  <c r="BE4" i="8"/>
  <c r="BE38" i="8"/>
  <c r="BE32" i="8"/>
  <c r="BE40" i="8"/>
  <c r="BE28" i="8"/>
  <c r="BE22" i="8"/>
  <c r="BE16" i="8"/>
  <c r="BE46" i="8"/>
  <c r="BE44" i="8"/>
  <c r="BE48" i="8"/>
  <c r="BE30" i="8"/>
  <c r="BE4" i="2"/>
  <c r="BE6" i="2"/>
  <c r="BE33" i="2"/>
  <c r="BE50" i="2"/>
  <c r="BE46" i="2"/>
  <c r="BE5" i="2"/>
  <c r="BE29" i="2"/>
  <c r="BE19" i="2"/>
  <c r="BE20" i="2"/>
  <c r="BE24" i="2"/>
  <c r="BE54" i="2"/>
  <c r="BE17" i="2"/>
  <c r="BE49" i="2"/>
  <c r="BE51" i="2"/>
  <c r="BE47" i="2"/>
  <c r="BE16" i="2"/>
  <c r="BE12" i="2"/>
  <c r="BE45" i="2"/>
  <c r="BE27" i="2"/>
  <c r="BE23" i="2"/>
  <c r="BE21" i="2"/>
  <c r="BE53" i="2"/>
  <c r="BE43" i="2"/>
  <c r="BE22" i="2"/>
  <c r="BE30" i="2"/>
  <c r="BE7" i="2"/>
  <c r="BE48" i="2"/>
  <c r="BE34" i="2"/>
  <c r="BE35" i="2"/>
  <c r="BE31" i="2"/>
  <c r="BE44" i="2"/>
  <c r="BE9" i="2"/>
  <c r="BE40" i="2"/>
  <c r="BE42" i="2"/>
  <c r="BE8" i="2"/>
  <c r="BE36" i="2"/>
  <c r="BE41" i="2"/>
  <c r="BE25" i="2"/>
  <c r="BE14" i="2"/>
  <c r="BE18" i="2"/>
  <c r="BE37" i="2"/>
  <c r="BE13" i="2"/>
  <c r="BE26" i="2"/>
  <c r="BE15" i="2"/>
  <c r="BE52" i="2"/>
  <c r="BE32" i="2"/>
  <c r="BE11" i="2"/>
  <c r="BE28" i="2"/>
  <c r="BE10" i="2"/>
  <c r="BE38" i="2"/>
  <c r="BE39" i="2"/>
  <c r="BH24" i="8"/>
  <c r="BH5" i="8"/>
  <c r="BH31" i="8"/>
  <c r="BH6" i="8"/>
  <c r="BH20" i="8"/>
  <c r="BH42" i="8"/>
  <c r="BH16" i="8"/>
  <c r="BH33" i="8"/>
  <c r="BH28" i="8"/>
  <c r="BH27" i="8"/>
  <c r="BH32" i="8"/>
  <c r="BH21" i="8"/>
  <c r="BH37" i="8"/>
  <c r="BH13" i="8"/>
  <c r="BH39" i="8"/>
  <c r="BH36" i="8"/>
  <c r="BH35" i="8"/>
  <c r="BH54" i="8"/>
  <c r="BH34" i="8"/>
  <c r="BH7" i="8"/>
  <c r="BH19" i="8"/>
  <c r="BH29" i="8"/>
  <c r="BH53" i="8"/>
  <c r="BH51" i="8"/>
  <c r="BH25" i="8"/>
  <c r="BH4" i="8"/>
  <c r="BH23" i="8"/>
  <c r="BH8" i="8"/>
  <c r="BH46" i="8"/>
  <c r="BH26" i="8"/>
  <c r="BH47" i="8"/>
  <c r="BH11" i="8"/>
  <c r="BH38" i="8"/>
  <c r="BH15" i="8"/>
  <c r="BH52" i="8"/>
  <c r="BH12" i="8"/>
  <c r="BH9" i="8"/>
  <c r="BH30" i="8"/>
  <c r="BH40" i="8"/>
  <c r="BH18" i="8"/>
  <c r="BH22" i="8"/>
  <c r="BH17" i="8"/>
  <c r="BH10" i="8"/>
  <c r="BH50" i="8"/>
  <c r="BH49" i="8"/>
  <c r="BH44" i="8"/>
  <c r="BH14" i="8"/>
  <c r="BH45" i="8"/>
  <c r="BH48" i="8"/>
  <c r="BH43" i="8"/>
  <c r="BH41" i="8"/>
  <c r="BJ37" i="2"/>
  <c r="BJ33" i="2"/>
  <c r="BJ24" i="2"/>
  <c r="BJ4" i="2"/>
  <c r="BJ42" i="2"/>
  <c r="BJ46" i="2"/>
  <c r="BJ29" i="2"/>
  <c r="BJ49" i="2"/>
  <c r="BJ31" i="2"/>
  <c r="BJ11" i="2"/>
  <c r="BJ14" i="2"/>
  <c r="BJ51" i="2"/>
  <c r="BJ53" i="2"/>
  <c r="BJ45" i="2"/>
  <c r="BJ47" i="2"/>
  <c r="BJ18" i="2"/>
  <c r="BJ50" i="2"/>
  <c r="BJ20" i="2"/>
  <c r="BJ23" i="2"/>
  <c r="BJ28" i="2"/>
  <c r="BJ5" i="2"/>
  <c r="BJ12" i="2"/>
  <c r="BJ25" i="2"/>
  <c r="BJ39" i="2"/>
  <c r="BJ36" i="2"/>
  <c r="BJ7" i="2"/>
  <c r="BJ21" i="2"/>
  <c r="BJ27" i="2"/>
  <c r="BJ6" i="2"/>
  <c r="BJ13" i="2"/>
  <c r="BJ19" i="2"/>
  <c r="BJ15" i="2"/>
  <c r="BJ44" i="2"/>
  <c r="BJ38" i="2"/>
  <c r="BJ34" i="2"/>
  <c r="BJ41" i="2"/>
  <c r="BJ48" i="2"/>
  <c r="BJ35" i="2"/>
  <c r="BJ30" i="2"/>
  <c r="BJ52" i="2"/>
  <c r="BJ8" i="2"/>
  <c r="BJ22" i="2"/>
  <c r="BJ17" i="2"/>
  <c r="BJ43" i="2"/>
  <c r="BJ54" i="2"/>
  <c r="BJ32" i="2"/>
  <c r="BJ9" i="2"/>
  <c r="BJ10" i="2"/>
  <c r="BJ26" i="2"/>
  <c r="BJ40" i="2"/>
  <c r="BJ16" i="2"/>
  <c r="E137" i="3"/>
  <c r="B146" i="3" s="1"/>
  <c r="G146" i="3" s="1"/>
  <c r="E136" i="3"/>
  <c r="B145" i="3" s="1"/>
  <c r="D147" i="3"/>
  <c r="F122" i="3"/>
  <c r="F126" i="3"/>
  <c r="F125" i="3"/>
  <c r="F127" i="3"/>
  <c r="F123" i="3"/>
  <c r="B109" i="3"/>
  <c r="B108" i="3"/>
  <c r="B110" i="3"/>
  <c r="D110" i="3" s="1"/>
  <c r="BJ29" i="8" l="1"/>
  <c r="BJ50" i="8"/>
  <c r="BJ7" i="8"/>
  <c r="BJ21" i="8"/>
  <c r="BJ9" i="8"/>
  <c r="BJ43" i="8"/>
  <c r="BJ12" i="8"/>
  <c r="BJ35" i="8"/>
  <c r="BJ53" i="8"/>
  <c r="BJ19" i="8"/>
  <c r="BJ33" i="8"/>
  <c r="BJ27" i="8"/>
  <c r="BJ48" i="8"/>
  <c r="BJ54" i="8"/>
  <c r="BJ4" i="8"/>
  <c r="BJ49" i="8"/>
  <c r="BJ39" i="8"/>
  <c r="BJ30" i="8"/>
  <c r="BJ41" i="8"/>
  <c r="BJ34" i="8"/>
  <c r="BJ37" i="8"/>
  <c r="BJ36" i="8"/>
  <c r="BJ52" i="8"/>
  <c r="BJ17" i="8"/>
  <c r="BJ5" i="8"/>
  <c r="BJ22" i="8"/>
  <c r="BJ40" i="8"/>
  <c r="BJ31" i="8"/>
  <c r="BJ20" i="8"/>
  <c r="BJ18" i="8"/>
  <c r="BJ13" i="8"/>
  <c r="BJ24" i="8"/>
  <c r="J152" i="3"/>
  <c r="BT11" i="16" s="1"/>
  <c r="BJ42" i="8"/>
  <c r="BJ8" i="8"/>
  <c r="BJ46" i="8"/>
  <c r="BJ23" i="8"/>
  <c r="BJ51" i="8"/>
  <c r="BJ16" i="8"/>
  <c r="BJ11" i="8"/>
  <c r="BJ32" i="8"/>
  <c r="BJ26" i="8"/>
  <c r="BJ38" i="8"/>
  <c r="BJ28" i="8"/>
  <c r="BJ6" i="8"/>
  <c r="BJ15" i="8"/>
  <c r="BJ44" i="8"/>
  <c r="BJ45" i="8"/>
  <c r="BJ10" i="8"/>
  <c r="BJ47" i="8"/>
  <c r="BJ25" i="8"/>
  <c r="BH7" i="2"/>
  <c r="BS7" i="2" s="1"/>
  <c r="BH9" i="2"/>
  <c r="BS9" i="2" s="1"/>
  <c r="BH39" i="2"/>
  <c r="BS39" i="2" s="1"/>
  <c r="BH54" i="2"/>
  <c r="BS54" i="2" s="1"/>
  <c r="BH8" i="2"/>
  <c r="BS8" i="2" s="1"/>
  <c r="BH24" i="2"/>
  <c r="BS24" i="2" s="1"/>
  <c r="BH46" i="2"/>
  <c r="BS46" i="2" s="1"/>
  <c r="BH43" i="2"/>
  <c r="BS43" i="2" s="1"/>
  <c r="BH50" i="2"/>
  <c r="BS50" i="2" s="1"/>
  <c r="BH38" i="2"/>
  <c r="BS38" i="2" s="1"/>
  <c r="BH29" i="2"/>
  <c r="BS29" i="2" s="1"/>
  <c r="BH19" i="2"/>
  <c r="BS19" i="2" s="1"/>
  <c r="BH23" i="2"/>
  <c r="BS23" i="2" s="1"/>
  <c r="BH34" i="2"/>
  <c r="BS34" i="2" s="1"/>
  <c r="BH17" i="2"/>
  <c r="BS17" i="2" s="1"/>
  <c r="BH49" i="2"/>
  <c r="BS49" i="2" s="1"/>
  <c r="BH25" i="2"/>
  <c r="BS25" i="2" s="1"/>
  <c r="BH10" i="2"/>
  <c r="BS10" i="2" s="1"/>
  <c r="BH16" i="2"/>
  <c r="BS16" i="2" s="1"/>
  <c r="BH21" i="2"/>
  <c r="BS21" i="2" s="1"/>
  <c r="BH14" i="2"/>
  <c r="BS14" i="2" s="1"/>
  <c r="BH35" i="2"/>
  <c r="BS35" i="2" s="1"/>
  <c r="BH12" i="2"/>
  <c r="BS12" i="2" s="1"/>
  <c r="BH15" i="2"/>
  <c r="BS15" i="2" s="1"/>
  <c r="BH52" i="2"/>
  <c r="BS52" i="2" s="1"/>
  <c r="BH28" i="2"/>
  <c r="BS28" i="2" s="1"/>
  <c r="BH18" i="2"/>
  <c r="BS18" i="2" s="1"/>
  <c r="BH30" i="2"/>
  <c r="BS30" i="2" s="1"/>
  <c r="BH4" i="2"/>
  <c r="BS4" i="2" s="1"/>
  <c r="BH11" i="2"/>
  <c r="BS11" i="2" s="1"/>
  <c r="BH44" i="2"/>
  <c r="BS44" i="2" s="1"/>
  <c r="BH20" i="2"/>
  <c r="BS20" i="2" s="1"/>
  <c r="BH47" i="2"/>
  <c r="BS47" i="2" s="1"/>
  <c r="BH36" i="2"/>
  <c r="BS36" i="2" s="1"/>
  <c r="BH33" i="2"/>
  <c r="BS33" i="2" s="1"/>
  <c r="BH6" i="2"/>
  <c r="BS6" i="2" s="1"/>
  <c r="BH51" i="2"/>
  <c r="BS51" i="2" s="1"/>
  <c r="BH37" i="2"/>
  <c r="BS37" i="2" s="1"/>
  <c r="BH13" i="2"/>
  <c r="BS13" i="2" s="1"/>
  <c r="BH27" i="2"/>
  <c r="BS27" i="2" s="1"/>
  <c r="BH41" i="2"/>
  <c r="BS41" i="2" s="1"/>
  <c r="BH45" i="2"/>
  <c r="BS45" i="2" s="1"/>
  <c r="BH53" i="2"/>
  <c r="BS53" i="2" s="1"/>
  <c r="BH22" i="2"/>
  <c r="BS22" i="2" s="1"/>
  <c r="BH31" i="2"/>
  <c r="BS31" i="2" s="1"/>
  <c r="BH26" i="2"/>
  <c r="BS26" i="2" s="1"/>
  <c r="BH42" i="2"/>
  <c r="BS42" i="2" s="1"/>
  <c r="BH48" i="2"/>
  <c r="BS48" i="2" s="1"/>
  <c r="BH5" i="2"/>
  <c r="BS5" i="2" s="1"/>
  <c r="BH32" i="2"/>
  <c r="BS32" i="2" s="1"/>
  <c r="BH40" i="2"/>
  <c r="BS40" i="2" s="1"/>
  <c r="BF27" i="8"/>
  <c r="BF8" i="8"/>
  <c r="BF5" i="8"/>
  <c r="BS5" i="8" s="1"/>
  <c r="BF33" i="8"/>
  <c r="BF31" i="8"/>
  <c r="BF26" i="8"/>
  <c r="BF21" i="8"/>
  <c r="BF47" i="8"/>
  <c r="BF20" i="8"/>
  <c r="BF35" i="8"/>
  <c r="BS35" i="8" s="1"/>
  <c r="BF52" i="8"/>
  <c r="BF6" i="8"/>
  <c r="BF24" i="8"/>
  <c r="BF22" i="8"/>
  <c r="BF53" i="8"/>
  <c r="BF15" i="8"/>
  <c r="BF16" i="8"/>
  <c r="BS16" i="8" s="1"/>
  <c r="BF13" i="8"/>
  <c r="BF48" i="8"/>
  <c r="BF43" i="8"/>
  <c r="BF41" i="8"/>
  <c r="BS41" i="8" s="1"/>
  <c r="BF36" i="8"/>
  <c r="BF19" i="8"/>
  <c r="BF23" i="8"/>
  <c r="BF25" i="8"/>
  <c r="BF34" i="8"/>
  <c r="BF9" i="8"/>
  <c r="BF37" i="8"/>
  <c r="BF4" i="8"/>
  <c r="BF32" i="8"/>
  <c r="BF50" i="8"/>
  <c r="BF46" i="8"/>
  <c r="BF10" i="8"/>
  <c r="BF38" i="8"/>
  <c r="BF28" i="8"/>
  <c r="BF54" i="8"/>
  <c r="BF44" i="8"/>
  <c r="BF39" i="8"/>
  <c r="BF40" i="8"/>
  <c r="BF29" i="8"/>
  <c r="BF18" i="8"/>
  <c r="BF7" i="8"/>
  <c r="BF12" i="8"/>
  <c r="BF45" i="8"/>
  <c r="BF14" i="8"/>
  <c r="BS14" i="8" s="1"/>
  <c r="BF49" i="8"/>
  <c r="BF17" i="8"/>
  <c r="BF51" i="8"/>
  <c r="BS51" i="8" s="1"/>
  <c r="BF11" i="8"/>
  <c r="BF42" i="8"/>
  <c r="BF30" i="8"/>
  <c r="D146" i="3"/>
  <c r="J146" i="3"/>
  <c r="D145" i="3"/>
  <c r="G108" i="3"/>
  <c r="G145" i="3"/>
  <c r="J145" i="3" s="1"/>
  <c r="D109" i="3"/>
  <c r="G109" i="3"/>
  <c r="G147" i="3"/>
  <c r="D108" i="3"/>
  <c r="G110" i="3"/>
  <c r="J115" i="3" s="1"/>
  <c r="BS15" i="8" l="1"/>
  <c r="BT15" i="8" s="1"/>
  <c r="BS13" i="8"/>
  <c r="BV13" i="8" s="1"/>
  <c r="BS7" i="8"/>
  <c r="BU7" i="8" s="1"/>
  <c r="BS8" i="8"/>
  <c r="BU8" i="8" s="1"/>
  <c r="BS40" i="8"/>
  <c r="BV40" i="8" s="1"/>
  <c r="BS33" i="8"/>
  <c r="BT33" i="8" s="1"/>
  <c r="BS21" i="8"/>
  <c r="BV21" i="8" s="1"/>
  <c r="BS18" i="8"/>
  <c r="BV18" i="8" s="1"/>
  <c r="BS45" i="8"/>
  <c r="BW45" i="8" s="1"/>
  <c r="BS12" i="8"/>
  <c r="BU12" i="8" s="1"/>
  <c r="BS52" i="8"/>
  <c r="BW52" i="8" s="1"/>
  <c r="BS17" i="8"/>
  <c r="BT17" i="8" s="1"/>
  <c r="BS50" i="8"/>
  <c r="BT50" i="8" s="1"/>
  <c r="BS19" i="8"/>
  <c r="BV19" i="8" s="1"/>
  <c r="BS53" i="8"/>
  <c r="BU53" i="8" s="1"/>
  <c r="BS20" i="8"/>
  <c r="BV20" i="8" s="1"/>
  <c r="BS48" i="8"/>
  <c r="BU48" i="8" s="1"/>
  <c r="BS49" i="8"/>
  <c r="BT49" i="8" s="1"/>
  <c r="BS39" i="8"/>
  <c r="BW39" i="8" s="1"/>
  <c r="BS32" i="8"/>
  <c r="BV32" i="8" s="1"/>
  <c r="BS22" i="8"/>
  <c r="BW22" i="8" s="1"/>
  <c r="BS11" i="8"/>
  <c r="BW11" i="8" s="1"/>
  <c r="BS44" i="8"/>
  <c r="BW44" i="8" s="1"/>
  <c r="BS4" i="8"/>
  <c r="BU4" i="8" s="1"/>
  <c r="BS24" i="8"/>
  <c r="BW24" i="8" s="1"/>
  <c r="BS26" i="8"/>
  <c r="BW26" i="8" s="1"/>
  <c r="BS10" i="8"/>
  <c r="BT10" i="8" s="1"/>
  <c r="BS30" i="8"/>
  <c r="BU30" i="8" s="1"/>
  <c r="BS29" i="8"/>
  <c r="BW29" i="8" s="1"/>
  <c r="BS46" i="8"/>
  <c r="BW46" i="8" s="1"/>
  <c r="BS23" i="8"/>
  <c r="BT23" i="8" s="1"/>
  <c r="BS54" i="8"/>
  <c r="BW54" i="8" s="1"/>
  <c r="BS37" i="8"/>
  <c r="BU37" i="8" s="1"/>
  <c r="BS43" i="8"/>
  <c r="BT43" i="8" s="1"/>
  <c r="BS6" i="8"/>
  <c r="BU6" i="8" s="1"/>
  <c r="BS47" i="8"/>
  <c r="BU47" i="8" s="1"/>
  <c r="BS42" i="8"/>
  <c r="BV42" i="8" s="1"/>
  <c r="BS36" i="8"/>
  <c r="BU36" i="8" s="1"/>
  <c r="BS31" i="8"/>
  <c r="BW31" i="8" s="1"/>
  <c r="BS28" i="8"/>
  <c r="BW28" i="8" s="1"/>
  <c r="BS9" i="8"/>
  <c r="BT9" i="8" s="1"/>
  <c r="BS38" i="8"/>
  <c r="BT38" i="8" s="1"/>
  <c r="BS34" i="8"/>
  <c r="BW34" i="8" s="1"/>
  <c r="BS25" i="8"/>
  <c r="BV25" i="8" s="1"/>
  <c r="BS27" i="8"/>
  <c r="BU27" i="8" s="1"/>
  <c r="BW14" i="8"/>
  <c r="BV14" i="8"/>
  <c r="BT14" i="8"/>
  <c r="BU14" i="8"/>
  <c r="BT5" i="8"/>
  <c r="BV5" i="8"/>
  <c r="BU5" i="8"/>
  <c r="BW5" i="8"/>
  <c r="BT41" i="8"/>
  <c r="BV41" i="8"/>
  <c r="BU41" i="8"/>
  <c r="BW41" i="8"/>
  <c r="BV51" i="8"/>
  <c r="BT51" i="8"/>
  <c r="BU51" i="8"/>
  <c r="BW51" i="8"/>
  <c r="BW16" i="8"/>
  <c r="BV16" i="8"/>
  <c r="BT16" i="8"/>
  <c r="BU16" i="8"/>
  <c r="BT35" i="8"/>
  <c r="BV35" i="8"/>
  <c r="BU35" i="8"/>
  <c r="BW35" i="8"/>
  <c r="BT31" i="2"/>
  <c r="BU31" i="2"/>
  <c r="BV31" i="2"/>
  <c r="BW31" i="2"/>
  <c r="BT14" i="2"/>
  <c r="BU14" i="2"/>
  <c r="BV14" i="2"/>
  <c r="BW14" i="2"/>
  <c r="BT6" i="2"/>
  <c r="BU6" i="2"/>
  <c r="BV6" i="2"/>
  <c r="BW6" i="2"/>
  <c r="BT30" i="2"/>
  <c r="BU30" i="2"/>
  <c r="BV30" i="2"/>
  <c r="BW30" i="2"/>
  <c r="BU21" i="2"/>
  <c r="BV21" i="2"/>
  <c r="BW21" i="2"/>
  <c r="BT21" i="2"/>
  <c r="BU19" i="2"/>
  <c r="BT19" i="2"/>
  <c r="BW19" i="2"/>
  <c r="BV19" i="2"/>
  <c r="BT54" i="2"/>
  <c r="BU54" i="2"/>
  <c r="BV54" i="2"/>
  <c r="BW54" i="2"/>
  <c r="BT40" i="2"/>
  <c r="BU40" i="2"/>
  <c r="BV40" i="2"/>
  <c r="BW40" i="2"/>
  <c r="BT53" i="2"/>
  <c r="BU53" i="2"/>
  <c r="BV53" i="2"/>
  <c r="BW53" i="2"/>
  <c r="BU33" i="2"/>
  <c r="BV33" i="2"/>
  <c r="BW33" i="2"/>
  <c r="BT33" i="2"/>
  <c r="BT18" i="2"/>
  <c r="BU18" i="2"/>
  <c r="BV18" i="2"/>
  <c r="BW18" i="2"/>
  <c r="BT16" i="2"/>
  <c r="BU16" i="2"/>
  <c r="BV16" i="2"/>
  <c r="BW16" i="2"/>
  <c r="BU29" i="2"/>
  <c r="BW29" i="2"/>
  <c r="BV29" i="2"/>
  <c r="BT29" i="2"/>
  <c r="BT39" i="2"/>
  <c r="BV39" i="2"/>
  <c r="BW39" i="2"/>
  <c r="BU39" i="2"/>
  <c r="BU35" i="2"/>
  <c r="BV35" i="2"/>
  <c r="BW35" i="2"/>
  <c r="BT35" i="2"/>
  <c r="BT51" i="2"/>
  <c r="BU51" i="2"/>
  <c r="BV51" i="2"/>
  <c r="BW51" i="2"/>
  <c r="BT23" i="2"/>
  <c r="BU23" i="2"/>
  <c r="BV23" i="2"/>
  <c r="BW23" i="2"/>
  <c r="BT32" i="2"/>
  <c r="BU32" i="2"/>
  <c r="BV32" i="2"/>
  <c r="BW32" i="2"/>
  <c r="BT36" i="2"/>
  <c r="BU36" i="2"/>
  <c r="BV36" i="2"/>
  <c r="BW36" i="2"/>
  <c r="BT10" i="2"/>
  <c r="BU10" i="2"/>
  <c r="BV10" i="2"/>
  <c r="BW10" i="2"/>
  <c r="BV9" i="2"/>
  <c r="BT9" i="2"/>
  <c r="BW9" i="2"/>
  <c r="BU9" i="2"/>
  <c r="BT48" i="2"/>
  <c r="BU48" i="2"/>
  <c r="BV48" i="2"/>
  <c r="BW48" i="2"/>
  <c r="BU27" i="2"/>
  <c r="BV27" i="2"/>
  <c r="BT27" i="2"/>
  <c r="BW27" i="2"/>
  <c r="BU15" i="2"/>
  <c r="BW15" i="2"/>
  <c r="BT15" i="2"/>
  <c r="BV15" i="2"/>
  <c r="BU49" i="2"/>
  <c r="BV49" i="2"/>
  <c r="BT49" i="2"/>
  <c r="BW49" i="2"/>
  <c r="BU37" i="2"/>
  <c r="BW37" i="2"/>
  <c r="BT37" i="2"/>
  <c r="BV37" i="2"/>
  <c r="BV4" i="2"/>
  <c r="BU4" i="2"/>
  <c r="BT4" i="2"/>
  <c r="BW4" i="2"/>
  <c r="BT8" i="2"/>
  <c r="BU8" i="2"/>
  <c r="BV8" i="2"/>
  <c r="BW8" i="2"/>
  <c r="BT22" i="2"/>
  <c r="BU22" i="2"/>
  <c r="BV22" i="2"/>
  <c r="BW22" i="2"/>
  <c r="BT45" i="2"/>
  <c r="BU45" i="2"/>
  <c r="BV45" i="2"/>
  <c r="BW45" i="2"/>
  <c r="BT28" i="2"/>
  <c r="BU28" i="2"/>
  <c r="BV28" i="2"/>
  <c r="BW28" i="2"/>
  <c r="BT38" i="2"/>
  <c r="BU38" i="2"/>
  <c r="BV38" i="2"/>
  <c r="BW38" i="2"/>
  <c r="BU7" i="2"/>
  <c r="BT7" i="2"/>
  <c r="BV7" i="2"/>
  <c r="BW7" i="2"/>
  <c r="BT46" i="2"/>
  <c r="BU46" i="2"/>
  <c r="BV46" i="2"/>
  <c r="BW46" i="2"/>
  <c r="BT44" i="2"/>
  <c r="BU44" i="2"/>
  <c r="BV44" i="2"/>
  <c r="BW44" i="2"/>
  <c r="BT20" i="2"/>
  <c r="BU20" i="2"/>
  <c r="BV20" i="2"/>
  <c r="BW20" i="2"/>
  <c r="BU25" i="2"/>
  <c r="BW25" i="2"/>
  <c r="BT25" i="2"/>
  <c r="BV25" i="2"/>
  <c r="BU17" i="2"/>
  <c r="BV17" i="2"/>
  <c r="BW17" i="2"/>
  <c r="BT17" i="2"/>
  <c r="BT12" i="2"/>
  <c r="BU12" i="2"/>
  <c r="BV12" i="2"/>
  <c r="BW12" i="2"/>
  <c r="BU11" i="2"/>
  <c r="BT11" i="2"/>
  <c r="BV11" i="2"/>
  <c r="BW11" i="2"/>
  <c r="BT24" i="2"/>
  <c r="BU24" i="2"/>
  <c r="BV24" i="2"/>
  <c r="BW24" i="2"/>
  <c r="BT34" i="2"/>
  <c r="BU34" i="2"/>
  <c r="BV34" i="2"/>
  <c r="BW34" i="2"/>
  <c r="BT52" i="2"/>
  <c r="BU52" i="2"/>
  <c r="BV52" i="2"/>
  <c r="BW52" i="2"/>
  <c r="BT42" i="2"/>
  <c r="BU42" i="2"/>
  <c r="BV42" i="2"/>
  <c r="BW42" i="2"/>
  <c r="BT26" i="2"/>
  <c r="BU26" i="2"/>
  <c r="BV26" i="2"/>
  <c r="BW26" i="2"/>
  <c r="BU41" i="2"/>
  <c r="BV41" i="2"/>
  <c r="BT41" i="2"/>
  <c r="BW41" i="2"/>
  <c r="BT47" i="2"/>
  <c r="BU47" i="2"/>
  <c r="BV47" i="2"/>
  <c r="BW47" i="2"/>
  <c r="BT13" i="2"/>
  <c r="BU13" i="2"/>
  <c r="BV13" i="2"/>
  <c r="BW13" i="2"/>
  <c r="BU43" i="2"/>
  <c r="BV43" i="2"/>
  <c r="BW43" i="2"/>
  <c r="BT43" i="2"/>
  <c r="BT5" i="2"/>
  <c r="BW5" i="2"/>
  <c r="BU5" i="2"/>
  <c r="BV5" i="2"/>
  <c r="BT50" i="2"/>
  <c r="BU50" i="2"/>
  <c r="BV50" i="2"/>
  <c r="BW50" i="2"/>
  <c r="BT46" i="16"/>
  <c r="BT6" i="16"/>
  <c r="BT45" i="16"/>
  <c r="BT33" i="16"/>
  <c r="BT28" i="16"/>
  <c r="BT8" i="16"/>
  <c r="BT4" i="16"/>
  <c r="BT18" i="16"/>
  <c r="BT31" i="16"/>
  <c r="BT53" i="16"/>
  <c r="BT24" i="16"/>
  <c r="BT7" i="16"/>
  <c r="BT5" i="16"/>
  <c r="BT20" i="16"/>
  <c r="BT25" i="16"/>
  <c r="BT51" i="16"/>
  <c r="BT38" i="16"/>
  <c r="BT9" i="16"/>
  <c r="BT39" i="16"/>
  <c r="BT26" i="16"/>
  <c r="BT22" i="16"/>
  <c r="BT32" i="16"/>
  <c r="BT35" i="16"/>
  <c r="BT30" i="16"/>
  <c r="BT37" i="16"/>
  <c r="BT52" i="16"/>
  <c r="BT49" i="16"/>
  <c r="BT27" i="16"/>
  <c r="M152" i="3"/>
  <c r="BU43" i="16" s="1"/>
  <c r="BT14" i="16"/>
  <c r="BT29" i="16"/>
  <c r="BT40" i="16"/>
  <c r="BT41" i="16"/>
  <c r="BT23" i="16"/>
  <c r="BT42" i="16"/>
  <c r="BT21" i="16"/>
  <c r="BT36" i="16"/>
  <c r="BT13" i="16"/>
  <c r="BT19" i="16"/>
  <c r="BT50" i="16"/>
  <c r="BT10" i="16"/>
  <c r="BT48" i="16"/>
  <c r="BT16" i="16"/>
  <c r="BT47" i="16"/>
  <c r="BT15" i="16"/>
  <c r="BT34" i="16"/>
  <c r="BT54" i="16"/>
  <c r="BT17" i="16"/>
  <c r="BT44" i="16"/>
  <c r="BT12" i="16"/>
  <c r="BT43" i="16"/>
  <c r="BJ4" i="9"/>
  <c r="BJ8" i="9"/>
  <c r="BJ12" i="9"/>
  <c r="BJ16" i="9"/>
  <c r="BJ20" i="9"/>
  <c r="BJ24" i="9"/>
  <c r="BJ28" i="9"/>
  <c r="BJ32" i="9"/>
  <c r="BJ36" i="9"/>
  <c r="BJ40" i="9"/>
  <c r="BJ44" i="9"/>
  <c r="BJ48" i="9"/>
  <c r="BJ52" i="9"/>
  <c r="BJ10" i="9"/>
  <c r="BJ18" i="9"/>
  <c r="BJ30" i="9"/>
  <c r="BJ38" i="9"/>
  <c r="BJ46" i="9"/>
  <c r="BJ5" i="9"/>
  <c r="BJ9" i="9"/>
  <c r="BJ13" i="9"/>
  <c r="BJ17" i="9"/>
  <c r="BJ21" i="9"/>
  <c r="BJ25" i="9"/>
  <c r="BJ29" i="9"/>
  <c r="BJ33" i="9"/>
  <c r="BJ37" i="9"/>
  <c r="BJ41" i="9"/>
  <c r="BJ45" i="9"/>
  <c r="BJ49" i="9"/>
  <c r="BJ53" i="9"/>
  <c r="BJ6" i="9"/>
  <c r="BJ14" i="9"/>
  <c r="BJ26" i="9"/>
  <c r="BJ42" i="9"/>
  <c r="BJ54" i="9"/>
  <c r="BJ22" i="9"/>
  <c r="BJ34" i="9"/>
  <c r="BJ50" i="9"/>
  <c r="BJ19" i="9"/>
  <c r="BJ35" i="9"/>
  <c r="BJ51" i="9"/>
  <c r="BJ7" i="9"/>
  <c r="BJ23" i="9"/>
  <c r="BJ39" i="9"/>
  <c r="BJ11" i="9"/>
  <c r="BJ27" i="9"/>
  <c r="BJ43" i="9"/>
  <c r="BJ15" i="9"/>
  <c r="BJ31" i="9"/>
  <c r="BJ47" i="9"/>
  <c r="M115" i="3"/>
  <c r="BF17" i="16"/>
  <c r="BF32" i="16"/>
  <c r="BF54" i="16"/>
  <c r="BF21" i="16"/>
  <c r="BF23" i="16"/>
  <c r="BF4" i="16"/>
  <c r="BF22" i="16"/>
  <c r="BF42" i="16"/>
  <c r="BF11" i="16"/>
  <c r="BF9" i="16"/>
  <c r="BF7" i="16"/>
  <c r="BF24" i="16"/>
  <c r="BF27" i="16"/>
  <c r="BF14" i="16"/>
  <c r="BF15" i="16"/>
  <c r="BF12" i="16"/>
  <c r="BF40" i="16"/>
  <c r="BF53" i="16"/>
  <c r="BF29" i="16"/>
  <c r="BF13" i="16"/>
  <c r="BF39" i="16"/>
  <c r="BF37" i="16"/>
  <c r="BF44" i="16"/>
  <c r="BF35" i="16"/>
  <c r="BF6" i="16"/>
  <c r="BF34" i="16"/>
  <c r="BF49" i="16"/>
  <c r="BF8" i="16"/>
  <c r="BF33" i="16"/>
  <c r="BF30" i="16"/>
  <c r="BF52" i="16"/>
  <c r="BF48" i="16"/>
  <c r="BF18" i="16"/>
  <c r="BF16" i="16"/>
  <c r="BF10" i="16"/>
  <c r="BF31" i="16"/>
  <c r="BF28" i="16"/>
  <c r="BF51" i="16"/>
  <c r="BF47" i="16"/>
  <c r="BF5" i="16"/>
  <c r="BF38" i="16"/>
  <c r="BF50" i="16"/>
  <c r="BF19" i="16"/>
  <c r="BF20" i="16"/>
  <c r="BF45" i="16"/>
  <c r="BF36" i="16"/>
  <c r="BF46" i="16"/>
  <c r="BF25" i="16"/>
  <c r="BF26" i="16"/>
  <c r="BF41" i="16"/>
  <c r="BF43" i="16"/>
  <c r="M146" i="3"/>
  <c r="BH7" i="16"/>
  <c r="BH15" i="16"/>
  <c r="BH17" i="16"/>
  <c r="BH23" i="16"/>
  <c r="BH10" i="16"/>
  <c r="BH24" i="16"/>
  <c r="BH13" i="16"/>
  <c r="BH19" i="16"/>
  <c r="BH6" i="16"/>
  <c r="BH8" i="16"/>
  <c r="BH16" i="16"/>
  <c r="BH9" i="16"/>
  <c r="BH11" i="16"/>
  <c r="BH21" i="16"/>
  <c r="BH30" i="16"/>
  <c r="BH32" i="16"/>
  <c r="BH45" i="16"/>
  <c r="BH46" i="16"/>
  <c r="BH47" i="16"/>
  <c r="BH48" i="16"/>
  <c r="BH49" i="16"/>
  <c r="BH50" i="16"/>
  <c r="BH51" i="16"/>
  <c r="BH52" i="16"/>
  <c r="BH53" i="16"/>
  <c r="BH54" i="16"/>
  <c r="BH12" i="16"/>
  <c r="BH18" i="16"/>
  <c r="BH25" i="16"/>
  <c r="BH5" i="16"/>
  <c r="BH20" i="16"/>
  <c r="BH26" i="16"/>
  <c r="BH28" i="16"/>
  <c r="BH34" i="16"/>
  <c r="BH36" i="16"/>
  <c r="BH40" i="16"/>
  <c r="BH42" i="16"/>
  <c r="BH44" i="16"/>
  <c r="BH38" i="16"/>
  <c r="BH14" i="16"/>
  <c r="BH22" i="16"/>
  <c r="BH27" i="16"/>
  <c r="BH29" i="16"/>
  <c r="BH35" i="16"/>
  <c r="BH39" i="16"/>
  <c r="BH33" i="16"/>
  <c r="BH37" i="16"/>
  <c r="BH41" i="16"/>
  <c r="BH43" i="16"/>
  <c r="BH4" i="16"/>
  <c r="BH31" i="16"/>
  <c r="M145" i="3"/>
  <c r="J147" i="3"/>
  <c r="J110" i="3"/>
  <c r="J109" i="3"/>
  <c r="BU15" i="8" l="1"/>
  <c r="BT13" i="8"/>
  <c r="BW15" i="8"/>
  <c r="BV15" i="8"/>
  <c r="BU13" i="8"/>
  <c r="BW13" i="8"/>
  <c r="BV7" i="8"/>
  <c r="BT7" i="8"/>
  <c r="BW7" i="8"/>
  <c r="BT8" i="8"/>
  <c r="BU40" i="8"/>
  <c r="BW8" i="8"/>
  <c r="BV8" i="8"/>
  <c r="BT40" i="8"/>
  <c r="BW33" i="8"/>
  <c r="BW40" i="8"/>
  <c r="BW21" i="8"/>
  <c r="BT21" i="8"/>
  <c r="BU33" i="8"/>
  <c r="BV33" i="8"/>
  <c r="BU18" i="8"/>
  <c r="BW12" i="8"/>
  <c r="BT18" i="8"/>
  <c r="BW18" i="8"/>
  <c r="BV45" i="8"/>
  <c r="BT45" i="8"/>
  <c r="BW48" i="8"/>
  <c r="BV24" i="8"/>
  <c r="BW37" i="8"/>
  <c r="BU45" i="8"/>
  <c r="BU21" i="8"/>
  <c r="BV37" i="8"/>
  <c r="BT52" i="8"/>
  <c r="BW17" i="8"/>
  <c r="BU25" i="8"/>
  <c r="BW38" i="8"/>
  <c r="BW49" i="8"/>
  <c r="BT12" i="8"/>
  <c r="BV12" i="8"/>
  <c r="BW32" i="8"/>
  <c r="BU32" i="8"/>
  <c r="BU17" i="8"/>
  <c r="BT32" i="8"/>
  <c r="BW47" i="8"/>
  <c r="BV30" i="8"/>
  <c r="BT30" i="8"/>
  <c r="BW30" i="8"/>
  <c r="BU52" i="8"/>
  <c r="BV52" i="8"/>
  <c r="BV22" i="8"/>
  <c r="BW50" i="8"/>
  <c r="BT53" i="8"/>
  <c r="BW53" i="8"/>
  <c r="BV29" i="8"/>
  <c r="BW20" i="8"/>
  <c r="BV11" i="8"/>
  <c r="BW19" i="8"/>
  <c r="BT11" i="8"/>
  <c r="BU19" i="8"/>
  <c r="BV28" i="8"/>
  <c r="BU22" i="8"/>
  <c r="BU46" i="8"/>
  <c r="BU28" i="8"/>
  <c r="BT19" i="8"/>
  <c r="BV54" i="8"/>
  <c r="BT29" i="8"/>
  <c r="BV27" i="8"/>
  <c r="BT22" i="8"/>
  <c r="BT44" i="8"/>
  <c r="BW4" i="8"/>
  <c r="BT28" i="8"/>
  <c r="BT27" i="8"/>
  <c r="BV44" i="8"/>
  <c r="BT4" i="8"/>
  <c r="BV50" i="8"/>
  <c r="BV53" i="8"/>
  <c r="BU44" i="8"/>
  <c r="BU20" i="8"/>
  <c r="BU50" i="8"/>
  <c r="BU11" i="8"/>
  <c r="BT20" i="8"/>
  <c r="BT26" i="8"/>
  <c r="BV10" i="8"/>
  <c r="BV26" i="8"/>
  <c r="BU10" i="8"/>
  <c r="BV34" i="8"/>
  <c r="BU49" i="8"/>
  <c r="BT6" i="8"/>
  <c r="BT24" i="8"/>
  <c r="BU39" i="8"/>
  <c r="BU26" i="8"/>
  <c r="BW10" i="8"/>
  <c r="BT34" i="8"/>
  <c r="BV49" i="8"/>
  <c r="BV4" i="8"/>
  <c r="BU43" i="8"/>
  <c r="BU54" i="8"/>
  <c r="BU24" i="8"/>
  <c r="BV39" i="8"/>
  <c r="BV17" i="8"/>
  <c r="BT48" i="8"/>
  <c r="BV38" i="8"/>
  <c r="BW9" i="8"/>
  <c r="BW43" i="8"/>
  <c r="BT54" i="8"/>
  <c r="BT39" i="8"/>
  <c r="BT37" i="8"/>
  <c r="BV48" i="8"/>
  <c r="BT46" i="8"/>
  <c r="BU38" i="8"/>
  <c r="BV43" i="8"/>
  <c r="BU29" i="8"/>
  <c r="BW27" i="8"/>
  <c r="BT36" i="8"/>
  <c r="BU42" i="8"/>
  <c r="BW23" i="8"/>
  <c r="BV46" i="8"/>
  <c r="BW36" i="8"/>
  <c r="BW42" i="8"/>
  <c r="BU23" i="8"/>
  <c r="BV23" i="8"/>
  <c r="BV31" i="8"/>
  <c r="BU9" i="8"/>
  <c r="BV9" i="8"/>
  <c r="BT42" i="8"/>
  <c r="BT31" i="8"/>
  <c r="BW6" i="8"/>
  <c r="BW25" i="8"/>
  <c r="BU34" i="8"/>
  <c r="BT47" i="8"/>
  <c r="BT25" i="8"/>
  <c r="BV47" i="8"/>
  <c r="BU31" i="8"/>
  <c r="BV36" i="8"/>
  <c r="BV6" i="8"/>
  <c r="BU11" i="16"/>
  <c r="BU42" i="16"/>
  <c r="BU9" i="16"/>
  <c r="BU35" i="16"/>
  <c r="BU30" i="16"/>
  <c r="BU15" i="16"/>
  <c r="BU20" i="16"/>
  <c r="BU23" i="16"/>
  <c r="BU50" i="16"/>
  <c r="BU53" i="16"/>
  <c r="BU19" i="16"/>
  <c r="BU18" i="16"/>
  <c r="BU52" i="16"/>
  <c r="BU8" i="16"/>
  <c r="BU54" i="16"/>
  <c r="BU7" i="16"/>
  <c r="BU38" i="16"/>
  <c r="BU44" i="16"/>
  <c r="BU31" i="16"/>
  <c r="BU33" i="16"/>
  <c r="BU12" i="16"/>
  <c r="BU39" i="16"/>
  <c r="BU41" i="16"/>
  <c r="BU14" i="16"/>
  <c r="BU17" i="16"/>
  <c r="BU37" i="16"/>
  <c r="BU27" i="16"/>
  <c r="BU34" i="16"/>
  <c r="BU36" i="16"/>
  <c r="BU29" i="16"/>
  <c r="BU5" i="16"/>
  <c r="BU28" i="16"/>
  <c r="BU13" i="16"/>
  <c r="BU46" i="16"/>
  <c r="BU48" i="16"/>
  <c r="BU16" i="16"/>
  <c r="BU25" i="16"/>
  <c r="BU10" i="16"/>
  <c r="BU6" i="16"/>
  <c r="BU45" i="16"/>
  <c r="BU49" i="16"/>
  <c r="BU40" i="16"/>
  <c r="BU26" i="16"/>
  <c r="BU24" i="16"/>
  <c r="BU4" i="16"/>
  <c r="BU51" i="16"/>
  <c r="BU47" i="16"/>
  <c r="BU22" i="16"/>
  <c r="BU21" i="16"/>
  <c r="BU32" i="16"/>
  <c r="BK7" i="9"/>
  <c r="BK11" i="9"/>
  <c r="BK15" i="9"/>
  <c r="BK19" i="9"/>
  <c r="BK23" i="9"/>
  <c r="BK27" i="9"/>
  <c r="BK31" i="9"/>
  <c r="BK35" i="9"/>
  <c r="BK39" i="9"/>
  <c r="BK43" i="9"/>
  <c r="BK47" i="9"/>
  <c r="BK51" i="9"/>
  <c r="BK8" i="9"/>
  <c r="BK12" i="9"/>
  <c r="BK16" i="9"/>
  <c r="BK20" i="9"/>
  <c r="BK24" i="9"/>
  <c r="BK28" i="9"/>
  <c r="BK32" i="9"/>
  <c r="BK36" i="9"/>
  <c r="BK40" i="9"/>
  <c r="BK44" i="9"/>
  <c r="BK48" i="9"/>
  <c r="BK52" i="9"/>
  <c r="BK5" i="9"/>
  <c r="BK9" i="9"/>
  <c r="BK13" i="9"/>
  <c r="BK17" i="9"/>
  <c r="BK21" i="9"/>
  <c r="BK25" i="9"/>
  <c r="BK29" i="9"/>
  <c r="BK33" i="9"/>
  <c r="BK37" i="9"/>
  <c r="BK41" i="9"/>
  <c r="BK45" i="9"/>
  <c r="BK49" i="9"/>
  <c r="BK53" i="9"/>
  <c r="BK18" i="9"/>
  <c r="BK34" i="9"/>
  <c r="BK50" i="9"/>
  <c r="BK6" i="9"/>
  <c r="BK22" i="9"/>
  <c r="BK38" i="9"/>
  <c r="BK54" i="9"/>
  <c r="BK4" i="9"/>
  <c r="BK10" i="9"/>
  <c r="BK26" i="9"/>
  <c r="BK42" i="9"/>
  <c r="BK14" i="9"/>
  <c r="BK30" i="9"/>
  <c r="BK46" i="9"/>
  <c r="AX8" i="9"/>
  <c r="AX12" i="9"/>
  <c r="AX16" i="9"/>
  <c r="AX20" i="9"/>
  <c r="AX24" i="9"/>
  <c r="AX28" i="9"/>
  <c r="AX32" i="9"/>
  <c r="AX36" i="9"/>
  <c r="AX40" i="9"/>
  <c r="AX7" i="9"/>
  <c r="AX11" i="9"/>
  <c r="AX15" i="9"/>
  <c r="AX19" i="9"/>
  <c r="AX23" i="9"/>
  <c r="AX27" i="9"/>
  <c r="AX31" i="9"/>
  <c r="AX35" i="9"/>
  <c r="AX39" i="9"/>
  <c r="AX10" i="9"/>
  <c r="AX18" i="9"/>
  <c r="AX26" i="9"/>
  <c r="AX34" i="9"/>
  <c r="AX42" i="9"/>
  <c r="AX52" i="9"/>
  <c r="AX54" i="9"/>
  <c r="AX53" i="9"/>
  <c r="AX6" i="9"/>
  <c r="AX9" i="9"/>
  <c r="AX17" i="9"/>
  <c r="AX25" i="9"/>
  <c r="AX33" i="9"/>
  <c r="AX41" i="9"/>
  <c r="AX49" i="9"/>
  <c r="AX14" i="9"/>
  <c r="AX43" i="9"/>
  <c r="AX46" i="9"/>
  <c r="AX4" i="9"/>
  <c r="AX5" i="9"/>
  <c r="AX13" i="9"/>
  <c r="AX21" i="9"/>
  <c r="AX29" i="9"/>
  <c r="AX37" i="9"/>
  <c r="AX48" i="9"/>
  <c r="AX51" i="9"/>
  <c r="AX45" i="9"/>
  <c r="AX44" i="9"/>
  <c r="AX50" i="9"/>
  <c r="AX22" i="9"/>
  <c r="AX47" i="9"/>
  <c r="AX38" i="9"/>
  <c r="AX30" i="9"/>
  <c r="AZ5" i="9"/>
  <c r="AZ9" i="9"/>
  <c r="AZ13" i="9"/>
  <c r="AZ17" i="9"/>
  <c r="AZ21" i="9"/>
  <c r="AZ25" i="9"/>
  <c r="AZ29" i="9"/>
  <c r="AZ33" i="9"/>
  <c r="AZ37" i="9"/>
  <c r="AZ41" i="9"/>
  <c r="AZ8" i="9"/>
  <c r="AZ12" i="9"/>
  <c r="AZ16" i="9"/>
  <c r="AZ20" i="9"/>
  <c r="AZ24" i="9"/>
  <c r="AZ28" i="9"/>
  <c r="AZ32" i="9"/>
  <c r="AZ36" i="9"/>
  <c r="AZ40" i="9"/>
  <c r="AZ11" i="9"/>
  <c r="AZ19" i="9"/>
  <c r="AZ27" i="9"/>
  <c r="AZ35" i="9"/>
  <c r="AZ45" i="9"/>
  <c r="AZ48" i="9"/>
  <c r="AZ51" i="9"/>
  <c r="AZ4" i="9"/>
  <c r="AZ10" i="9"/>
  <c r="AZ18" i="9"/>
  <c r="AZ26" i="9"/>
  <c r="AZ34" i="9"/>
  <c r="AZ42" i="9"/>
  <c r="AZ54" i="9"/>
  <c r="AZ49" i="9"/>
  <c r="AZ52" i="9"/>
  <c r="AZ6" i="9"/>
  <c r="AZ14" i="9"/>
  <c r="AZ22" i="9"/>
  <c r="AZ30" i="9"/>
  <c r="AZ38" i="9"/>
  <c r="AZ50" i="9"/>
  <c r="AZ53" i="9"/>
  <c r="AZ44" i="9"/>
  <c r="AZ47" i="9"/>
  <c r="AZ46" i="9"/>
  <c r="AZ7" i="9"/>
  <c r="AZ15" i="9"/>
  <c r="AZ43" i="9"/>
  <c r="AZ39" i="9"/>
  <c r="AZ31" i="9"/>
  <c r="AZ23" i="9"/>
  <c r="BI5" i="16"/>
  <c r="BI12" i="16"/>
  <c r="BI20" i="16"/>
  <c r="BI22" i="16"/>
  <c r="BI7" i="16"/>
  <c r="BI15" i="16"/>
  <c r="BI17" i="16"/>
  <c r="BI23" i="16"/>
  <c r="BI10" i="16"/>
  <c r="BI24" i="16"/>
  <c r="BI13" i="16"/>
  <c r="BI19" i="16"/>
  <c r="BI14" i="16"/>
  <c r="BI16" i="16"/>
  <c r="BI27" i="16"/>
  <c r="BI9" i="16"/>
  <c r="BI11" i="16"/>
  <c r="BI21" i="16"/>
  <c r="BI8" i="16"/>
  <c r="BI18" i="16"/>
  <c r="BI25" i="16"/>
  <c r="BI35" i="16"/>
  <c r="BI31" i="16"/>
  <c r="BI37" i="16"/>
  <c r="BI33" i="16"/>
  <c r="BI42" i="16"/>
  <c r="BI46" i="16"/>
  <c r="BI50" i="16"/>
  <c r="BI48" i="16"/>
  <c r="BI4" i="16"/>
  <c r="BI29" i="16"/>
  <c r="BI30" i="16"/>
  <c r="BI32" i="16"/>
  <c r="BI34" i="16"/>
  <c r="BI36" i="16"/>
  <c r="BI28" i="16"/>
  <c r="BI47" i="16"/>
  <c r="BI39" i="16"/>
  <c r="BI54" i="16"/>
  <c r="BI38" i="16"/>
  <c r="BI40" i="16"/>
  <c r="BI45" i="16"/>
  <c r="BI49" i="16"/>
  <c r="BI52" i="16"/>
  <c r="BI44" i="16"/>
  <c r="BI53" i="16"/>
  <c r="BI26" i="16"/>
  <c r="BI6" i="16"/>
  <c r="BI43" i="16"/>
  <c r="BI41" i="16"/>
  <c r="BI51" i="16"/>
  <c r="BG5" i="16"/>
  <c r="BG6" i="16"/>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 i="16"/>
  <c r="BG45" i="16"/>
  <c r="BG49" i="16"/>
  <c r="BG52" i="16"/>
  <c r="BG47" i="16"/>
  <c r="BG51" i="16"/>
  <c r="BG48" i="16"/>
  <c r="BG53" i="16"/>
  <c r="BG54" i="16"/>
  <c r="BG46" i="16"/>
  <c r="BG50" i="16"/>
  <c r="M147" i="3"/>
  <c r="BJ9" i="16"/>
  <c r="BJ21" i="16"/>
  <c r="BJ5" i="16"/>
  <c r="BJ12" i="16"/>
  <c r="BJ20" i="16"/>
  <c r="BJ22" i="16"/>
  <c r="BJ7" i="16"/>
  <c r="BJ15" i="16"/>
  <c r="BJ17" i="16"/>
  <c r="BJ23" i="16"/>
  <c r="BJ10" i="16"/>
  <c r="BJ24" i="16"/>
  <c r="BJ6" i="16"/>
  <c r="BJ39" i="16"/>
  <c r="BJ41" i="16"/>
  <c r="BJ43" i="16"/>
  <c r="BJ14" i="16"/>
  <c r="BJ16" i="16"/>
  <c r="BJ27" i="16"/>
  <c r="BJ11" i="16"/>
  <c r="BJ30" i="16"/>
  <c r="BJ32" i="16"/>
  <c r="BJ45" i="16"/>
  <c r="BJ46" i="16"/>
  <c r="BJ47" i="16"/>
  <c r="BJ48" i="16"/>
  <c r="BJ49" i="16"/>
  <c r="BJ50" i="16"/>
  <c r="BJ51" i="16"/>
  <c r="BJ13" i="16"/>
  <c r="BJ26" i="16"/>
  <c r="BJ28" i="16"/>
  <c r="BJ34" i="16"/>
  <c r="BJ36" i="16"/>
  <c r="BJ40" i="16"/>
  <c r="BJ42" i="16"/>
  <c r="BJ44" i="16"/>
  <c r="BJ18" i="16"/>
  <c r="BJ54" i="16"/>
  <c r="BJ8" i="16"/>
  <c r="BJ33" i="16"/>
  <c r="BJ35" i="16"/>
  <c r="BJ52" i="16"/>
  <c r="BJ31" i="16"/>
  <c r="BJ29" i="16"/>
  <c r="BJ37" i="16"/>
  <c r="BJ4" i="16"/>
  <c r="BJ19" i="16"/>
  <c r="BJ38" i="16"/>
  <c r="BJ25" i="16"/>
  <c r="BJ53" i="16"/>
  <c r="M110" i="3"/>
  <c r="M109" i="3"/>
  <c r="J108" i="3"/>
  <c r="AV7" i="9" l="1"/>
  <c r="AV11" i="9"/>
  <c r="AV15" i="9"/>
  <c r="AV19" i="9"/>
  <c r="AV23" i="9"/>
  <c r="AV27" i="9"/>
  <c r="AV31" i="9"/>
  <c r="AV35" i="9"/>
  <c r="AV39" i="9"/>
  <c r="AV6" i="9"/>
  <c r="AV10" i="9"/>
  <c r="AV14" i="9"/>
  <c r="AV18" i="9"/>
  <c r="AV22" i="9"/>
  <c r="AV26" i="9"/>
  <c r="AV30" i="9"/>
  <c r="AV34" i="9"/>
  <c r="AV38" i="9"/>
  <c r="AV42" i="9"/>
  <c r="AV9" i="9"/>
  <c r="AV17" i="9"/>
  <c r="AV25" i="9"/>
  <c r="AV33" i="9"/>
  <c r="AV41" i="9"/>
  <c r="AV43" i="9"/>
  <c r="AV46" i="9"/>
  <c r="AV49" i="9"/>
  <c r="AV8" i="9"/>
  <c r="AV16" i="9"/>
  <c r="AV24" i="9"/>
  <c r="AV32" i="9"/>
  <c r="AV40" i="9"/>
  <c r="AV5" i="9"/>
  <c r="AV47" i="9"/>
  <c r="AV50" i="9"/>
  <c r="AV53" i="9"/>
  <c r="AV13" i="9"/>
  <c r="AV12" i="9"/>
  <c r="AV20" i="9"/>
  <c r="AV28" i="9"/>
  <c r="AV36" i="9"/>
  <c r="AV48" i="9"/>
  <c r="AV45" i="9"/>
  <c r="AV52" i="9"/>
  <c r="AV54" i="9"/>
  <c r="AV44" i="9"/>
  <c r="AV21" i="9"/>
  <c r="AV37" i="9"/>
  <c r="AV51" i="9"/>
  <c r="AV29" i="9"/>
  <c r="AY6" i="9"/>
  <c r="AY10" i="9"/>
  <c r="AY14" i="9"/>
  <c r="AY18" i="9"/>
  <c r="AY22" i="9"/>
  <c r="AY26" i="9"/>
  <c r="AY30" i="9"/>
  <c r="AY34" i="9"/>
  <c r="AY38" i="9"/>
  <c r="AY42" i="9"/>
  <c r="AY46" i="9"/>
  <c r="AY50" i="9"/>
  <c r="AY5" i="9"/>
  <c r="AY9" i="9"/>
  <c r="AY13" i="9"/>
  <c r="AY17" i="9"/>
  <c r="AY21" i="9"/>
  <c r="AY25" i="9"/>
  <c r="AY29" i="9"/>
  <c r="AY33" i="9"/>
  <c r="AY37" i="9"/>
  <c r="AY41" i="9"/>
  <c r="AY45" i="9"/>
  <c r="AY49" i="9"/>
  <c r="AY15" i="9"/>
  <c r="AY23" i="9"/>
  <c r="AY31" i="9"/>
  <c r="AY52" i="9"/>
  <c r="AY43" i="9"/>
  <c r="AY8" i="9"/>
  <c r="AY16" i="9"/>
  <c r="AY24" i="9"/>
  <c r="AY32" i="9"/>
  <c r="AY40" i="9"/>
  <c r="AY54" i="9"/>
  <c r="AY7" i="9"/>
  <c r="AY44" i="9"/>
  <c r="AY47" i="9"/>
  <c r="AY12" i="9"/>
  <c r="AY20" i="9"/>
  <c r="AY28" i="9"/>
  <c r="AY36" i="9"/>
  <c r="AY11" i="9"/>
  <c r="AY19" i="9"/>
  <c r="AY27" i="9"/>
  <c r="AY35" i="9"/>
  <c r="AY48" i="9"/>
  <c r="AY51" i="9"/>
  <c r="AY39" i="9"/>
  <c r="AY53" i="9"/>
  <c r="BA7" i="9"/>
  <c r="BA11" i="9"/>
  <c r="BA15" i="9"/>
  <c r="BA19" i="9"/>
  <c r="BA23" i="9"/>
  <c r="BA27" i="9"/>
  <c r="BA31" i="9"/>
  <c r="BA35" i="9"/>
  <c r="BA39" i="9"/>
  <c r="BA43" i="9"/>
  <c r="BA47" i="9"/>
  <c r="BA51" i="9"/>
  <c r="BA6" i="9"/>
  <c r="BA10" i="9"/>
  <c r="BA14" i="9"/>
  <c r="BA18" i="9"/>
  <c r="BA22" i="9"/>
  <c r="BA26" i="9"/>
  <c r="BA30" i="9"/>
  <c r="BA34" i="9"/>
  <c r="BA38" i="9"/>
  <c r="BA42" i="9"/>
  <c r="BA46" i="9"/>
  <c r="BA50" i="9"/>
  <c r="BA8" i="9"/>
  <c r="BA40" i="9"/>
  <c r="BA45" i="9"/>
  <c r="BA48" i="9"/>
  <c r="BA16" i="9"/>
  <c r="BA9" i="9"/>
  <c r="BA17" i="9"/>
  <c r="BA25" i="9"/>
  <c r="BA33" i="9"/>
  <c r="BA41" i="9"/>
  <c r="BA24" i="9"/>
  <c r="BA49" i="9"/>
  <c r="BA52" i="9"/>
  <c r="BA5" i="9"/>
  <c r="BA13" i="9"/>
  <c r="BA21" i="9"/>
  <c r="BA29" i="9"/>
  <c r="BA37" i="9"/>
  <c r="BA53" i="9"/>
  <c r="BA12" i="9"/>
  <c r="BA20" i="9"/>
  <c r="BA28" i="9"/>
  <c r="BA36" i="9"/>
  <c r="BA44" i="9"/>
  <c r="BA32" i="9"/>
  <c r="BA54" i="9"/>
  <c r="BK14" i="16"/>
  <c r="BV14" i="16" s="1"/>
  <c r="BK18" i="16"/>
  <c r="BV18" i="16" s="1"/>
  <c r="BK25" i="16"/>
  <c r="BV25" i="16" s="1"/>
  <c r="BK9" i="16"/>
  <c r="BV9" i="16" s="1"/>
  <c r="BK21" i="16"/>
  <c r="BV21" i="16" s="1"/>
  <c r="BK5" i="16"/>
  <c r="BV5" i="16" s="1"/>
  <c r="BK12" i="16"/>
  <c r="BV12" i="16" s="1"/>
  <c r="BK20" i="16"/>
  <c r="BV20" i="16" s="1"/>
  <c r="BK22" i="16"/>
  <c r="BV22" i="16" s="1"/>
  <c r="BK7" i="16"/>
  <c r="BV7" i="16" s="1"/>
  <c r="BK15" i="16"/>
  <c r="BV15" i="16" s="1"/>
  <c r="BK17" i="16"/>
  <c r="BV17" i="16" s="1"/>
  <c r="BK23" i="16"/>
  <c r="BV23" i="16" s="1"/>
  <c r="BK19" i="16"/>
  <c r="BV19" i="16" s="1"/>
  <c r="BK29" i="16"/>
  <c r="BV29" i="16" s="1"/>
  <c r="BK33" i="16"/>
  <c r="BV33" i="16" s="1"/>
  <c r="BK6" i="16"/>
  <c r="BV6" i="16" s="1"/>
  <c r="BK16" i="16"/>
  <c r="BV16" i="16" s="1"/>
  <c r="BK27" i="16"/>
  <c r="BV27" i="16" s="1"/>
  <c r="BK8" i="16"/>
  <c r="BV8" i="16" s="1"/>
  <c r="BK35" i="16"/>
  <c r="BV35" i="16" s="1"/>
  <c r="BK10" i="16"/>
  <c r="BV10" i="16" s="1"/>
  <c r="BK26" i="16"/>
  <c r="BV26" i="16" s="1"/>
  <c r="BK31" i="16"/>
  <c r="BV31" i="16" s="1"/>
  <c r="BK39" i="16"/>
  <c r="BV39" i="16" s="1"/>
  <c r="BK53" i="16"/>
  <c r="BV53" i="16" s="1"/>
  <c r="BK38" i="16"/>
  <c r="BV38" i="16" s="1"/>
  <c r="BK48" i="16"/>
  <c r="BV48" i="16" s="1"/>
  <c r="BK44" i="16"/>
  <c r="BV44" i="16" s="1"/>
  <c r="BK47" i="16"/>
  <c r="BV47" i="16" s="1"/>
  <c r="BK51" i="16"/>
  <c r="BV51" i="16" s="1"/>
  <c r="BK52" i="16"/>
  <c r="BV52" i="16" s="1"/>
  <c r="BK42" i="16"/>
  <c r="BV42" i="16" s="1"/>
  <c r="BK46" i="16"/>
  <c r="BV46" i="16" s="1"/>
  <c r="BK50" i="16"/>
  <c r="BV50" i="16" s="1"/>
  <c r="BK54" i="16"/>
  <c r="BV54" i="16" s="1"/>
  <c r="BK11" i="16"/>
  <c r="BV11" i="16" s="1"/>
  <c r="BK24" i="16"/>
  <c r="BV24" i="16" s="1"/>
  <c r="BK30" i="16"/>
  <c r="BV30" i="16" s="1"/>
  <c r="BK32" i="16"/>
  <c r="BV32" i="16" s="1"/>
  <c r="BK34" i="16"/>
  <c r="BV34" i="16" s="1"/>
  <c r="BK36" i="16"/>
  <c r="BV36" i="16" s="1"/>
  <c r="BK37" i="16"/>
  <c r="BV37" i="16" s="1"/>
  <c r="BK40" i="16"/>
  <c r="BV40" i="16" s="1"/>
  <c r="BK45" i="16"/>
  <c r="BV45" i="16" s="1"/>
  <c r="BK49" i="16"/>
  <c r="BV49" i="16" s="1"/>
  <c r="BK4" i="16"/>
  <c r="BV4" i="16" s="1"/>
  <c r="BK43" i="16"/>
  <c r="BV43" i="16" s="1"/>
  <c r="BK28" i="16"/>
  <c r="BV28" i="16" s="1"/>
  <c r="BK41" i="16"/>
  <c r="BV41" i="16" s="1"/>
  <c r="BK13" i="16"/>
  <c r="BV13" i="16" s="1"/>
  <c r="AY4" i="9"/>
  <c r="BA4" i="9"/>
  <c r="AV4" i="9"/>
  <c r="M108" i="3"/>
  <c r="BW51" i="16" l="1"/>
  <c r="BX51" i="16"/>
  <c r="BY51" i="16"/>
  <c r="BZ51" i="16"/>
  <c r="BZ12" i="16"/>
  <c r="BW12" i="16"/>
  <c r="BX12" i="16"/>
  <c r="BY12" i="16"/>
  <c r="BW47" i="16"/>
  <c r="BX47" i="16"/>
  <c r="BY47" i="16"/>
  <c r="BZ47" i="16"/>
  <c r="BW5" i="16"/>
  <c r="BX5" i="16"/>
  <c r="BY5" i="16"/>
  <c r="BZ5" i="16"/>
  <c r="BW11" i="16"/>
  <c r="BZ11" i="16"/>
  <c r="BX11" i="16"/>
  <c r="BY11" i="16"/>
  <c r="BY35" i="16"/>
  <c r="BX35" i="16"/>
  <c r="BW35" i="16"/>
  <c r="BZ35" i="16"/>
  <c r="BW13" i="16"/>
  <c r="BY13" i="16"/>
  <c r="BX13" i="16"/>
  <c r="BZ13" i="16"/>
  <c r="BW37" i="16"/>
  <c r="BX37" i="16"/>
  <c r="BY37" i="16"/>
  <c r="BZ37" i="16"/>
  <c r="BW50" i="16"/>
  <c r="BX50" i="16"/>
  <c r="BZ50" i="16"/>
  <c r="BY50" i="16"/>
  <c r="BZ27" i="16"/>
  <c r="BW27" i="16"/>
  <c r="BX27" i="16"/>
  <c r="BY27" i="16"/>
  <c r="BW15" i="16"/>
  <c r="BZ15" i="16"/>
  <c r="BX15" i="16"/>
  <c r="BY15" i="16"/>
  <c r="BW25" i="16"/>
  <c r="BY25" i="16"/>
  <c r="BZ25" i="16"/>
  <c r="BX25" i="16"/>
  <c r="BW41" i="16"/>
  <c r="BX41" i="16"/>
  <c r="BY41" i="16"/>
  <c r="BZ41" i="16"/>
  <c r="BX36" i="16"/>
  <c r="BY36" i="16"/>
  <c r="BZ36" i="16"/>
  <c r="BW36" i="16"/>
  <c r="BW46" i="16"/>
  <c r="BX46" i="16"/>
  <c r="BY46" i="16"/>
  <c r="BZ46" i="16"/>
  <c r="BZ53" i="16"/>
  <c r="BW53" i="16"/>
  <c r="BX53" i="16"/>
  <c r="BY53" i="16"/>
  <c r="BZ16" i="16"/>
  <c r="BW16" i="16"/>
  <c r="BX16" i="16"/>
  <c r="BY16" i="16"/>
  <c r="BW7" i="16"/>
  <c r="BX7" i="16"/>
  <c r="BY7" i="16"/>
  <c r="BZ7" i="16"/>
  <c r="BZ18" i="16"/>
  <c r="BW18" i="16"/>
  <c r="BX18" i="16"/>
  <c r="BY18" i="16"/>
  <c r="BY28" i="16"/>
  <c r="BZ28" i="16"/>
  <c r="BW28" i="16"/>
  <c r="BX28" i="16"/>
  <c r="BY34" i="16"/>
  <c r="BZ34" i="16"/>
  <c r="BW34" i="16"/>
  <c r="BX34" i="16"/>
  <c r="BX42" i="16"/>
  <c r="BY42" i="16"/>
  <c r="BZ42" i="16"/>
  <c r="BW42" i="16"/>
  <c r="BW39" i="16"/>
  <c r="BX39" i="16"/>
  <c r="BY39" i="16"/>
  <c r="BZ39" i="16"/>
  <c r="BW6" i="16"/>
  <c r="BX6" i="16"/>
  <c r="BY6" i="16"/>
  <c r="BZ6" i="16"/>
  <c r="BZ22" i="16"/>
  <c r="BW22" i="16"/>
  <c r="BX22" i="16"/>
  <c r="BY22" i="16"/>
  <c r="BZ14" i="16"/>
  <c r="BW14" i="16"/>
  <c r="BX14" i="16"/>
  <c r="BY14" i="16"/>
  <c r="BW43" i="16"/>
  <c r="BX43" i="16"/>
  <c r="BY43" i="16"/>
  <c r="BZ43" i="16"/>
  <c r="BY32" i="16"/>
  <c r="BZ32" i="16"/>
  <c r="BW32" i="16"/>
  <c r="BX32" i="16"/>
  <c r="BY52" i="16"/>
  <c r="BW52" i="16"/>
  <c r="BX52" i="16"/>
  <c r="BZ52" i="16"/>
  <c r="BX31" i="16"/>
  <c r="BY31" i="16"/>
  <c r="BW31" i="16"/>
  <c r="BZ31" i="16"/>
  <c r="BX33" i="16"/>
  <c r="BY33" i="16"/>
  <c r="BW33" i="16"/>
  <c r="BZ33" i="16"/>
  <c r="BZ20" i="16"/>
  <c r="BW20" i="16"/>
  <c r="BX20" i="16"/>
  <c r="BY20" i="16"/>
  <c r="BZ26" i="16"/>
  <c r="BW26" i="16"/>
  <c r="BX26" i="16"/>
  <c r="BY26" i="16"/>
  <c r="BZ24" i="16"/>
  <c r="BW24" i="16"/>
  <c r="BX24" i="16"/>
  <c r="BY24" i="16"/>
  <c r="BW10" i="16"/>
  <c r="BX10" i="16"/>
  <c r="BY10" i="16"/>
  <c r="BZ10" i="16"/>
  <c r="BW45" i="16"/>
  <c r="BX45" i="16"/>
  <c r="BY45" i="16"/>
  <c r="BZ45" i="16"/>
  <c r="BW44" i="16"/>
  <c r="BX44" i="16"/>
  <c r="BZ44" i="16"/>
  <c r="BY44" i="16"/>
  <c r="BW23" i="16"/>
  <c r="BX23" i="16"/>
  <c r="BY23" i="16"/>
  <c r="BZ23" i="16"/>
  <c r="BY21" i="16"/>
  <c r="BW21" i="16"/>
  <c r="BX21" i="16"/>
  <c r="BZ21" i="16"/>
  <c r="BX40" i="16"/>
  <c r="BY40" i="16"/>
  <c r="BZ40" i="16"/>
  <c r="BW40" i="16"/>
  <c r="BW54" i="16"/>
  <c r="BY54" i="16"/>
  <c r="BZ54" i="16"/>
  <c r="BX54" i="16"/>
  <c r="BW48" i="16"/>
  <c r="BZ48" i="16"/>
  <c r="BX48" i="16"/>
  <c r="BY48" i="16"/>
  <c r="BW8" i="16"/>
  <c r="BX8" i="16"/>
  <c r="BY8" i="16"/>
  <c r="BZ8" i="16"/>
  <c r="BY17" i="16"/>
  <c r="BZ17" i="16"/>
  <c r="BW17" i="16"/>
  <c r="BX17" i="16"/>
  <c r="BW9" i="16"/>
  <c r="BZ9" i="16"/>
  <c r="BX9" i="16"/>
  <c r="BY9" i="16"/>
  <c r="BY30" i="16"/>
  <c r="BZ30" i="16"/>
  <c r="BW30" i="16"/>
  <c r="BX30" i="16"/>
  <c r="BX29" i="16"/>
  <c r="BW29" i="16"/>
  <c r="BY29" i="16"/>
  <c r="BZ29" i="16"/>
  <c r="BW49" i="16"/>
  <c r="BX49" i="16"/>
  <c r="BY49" i="16"/>
  <c r="BZ49" i="16"/>
  <c r="BW19" i="16"/>
  <c r="BY19" i="16"/>
  <c r="BZ19" i="16"/>
  <c r="BX19" i="16"/>
  <c r="BX38" i="16"/>
  <c r="BY38" i="16"/>
  <c r="BZ38" i="16"/>
  <c r="BW38" i="16"/>
  <c r="BX4" i="16"/>
  <c r="BZ4" i="16"/>
  <c r="BY4" i="16"/>
  <c r="BW4" i="16"/>
  <c r="AW5" i="9"/>
  <c r="BL5" i="9" s="1"/>
  <c r="AW9" i="9"/>
  <c r="BL9" i="9" s="1"/>
  <c r="AW13" i="9"/>
  <c r="BL13" i="9" s="1"/>
  <c r="AW17" i="9"/>
  <c r="BL17" i="9" s="1"/>
  <c r="AW21" i="9"/>
  <c r="BL21" i="9" s="1"/>
  <c r="AW25" i="9"/>
  <c r="BL25" i="9" s="1"/>
  <c r="AW29" i="9"/>
  <c r="BL29" i="9" s="1"/>
  <c r="AW33" i="9"/>
  <c r="BL33" i="9" s="1"/>
  <c r="AW37" i="9"/>
  <c r="BL37" i="9" s="1"/>
  <c r="AW41" i="9"/>
  <c r="BL41" i="9" s="1"/>
  <c r="AW45" i="9"/>
  <c r="BL45" i="9" s="1"/>
  <c r="AW49" i="9"/>
  <c r="BL49" i="9" s="1"/>
  <c r="AW53" i="9"/>
  <c r="BL53" i="9" s="1"/>
  <c r="AW8" i="9"/>
  <c r="BL8" i="9" s="1"/>
  <c r="AW12" i="9"/>
  <c r="BL12" i="9" s="1"/>
  <c r="AW16" i="9"/>
  <c r="BL16" i="9" s="1"/>
  <c r="AW20" i="9"/>
  <c r="BL20" i="9" s="1"/>
  <c r="AW24" i="9"/>
  <c r="BL24" i="9" s="1"/>
  <c r="AW28" i="9"/>
  <c r="BL28" i="9" s="1"/>
  <c r="AW32" i="9"/>
  <c r="BL32" i="9" s="1"/>
  <c r="AW36" i="9"/>
  <c r="BL36" i="9" s="1"/>
  <c r="AW40" i="9"/>
  <c r="BL40" i="9" s="1"/>
  <c r="AW44" i="9"/>
  <c r="BL44" i="9" s="1"/>
  <c r="AW48" i="9"/>
  <c r="BL48" i="9" s="1"/>
  <c r="AW52" i="9"/>
  <c r="BL52" i="9" s="1"/>
  <c r="AW54" i="9"/>
  <c r="BL54" i="9" s="1"/>
  <c r="AW50" i="9"/>
  <c r="BL50" i="9" s="1"/>
  <c r="AW43" i="9"/>
  <c r="BL43" i="9" s="1"/>
  <c r="AW46" i="9"/>
  <c r="BL46" i="9" s="1"/>
  <c r="AW6" i="9"/>
  <c r="BL6" i="9" s="1"/>
  <c r="AW30" i="9"/>
  <c r="BL30" i="9" s="1"/>
  <c r="AW47" i="9"/>
  <c r="BL47" i="9" s="1"/>
  <c r="AW7" i="9"/>
  <c r="BL7" i="9" s="1"/>
  <c r="AW15" i="9"/>
  <c r="BL15" i="9" s="1"/>
  <c r="AW23" i="9"/>
  <c r="BL23" i="9" s="1"/>
  <c r="AW31" i="9"/>
  <c r="BL31" i="9" s="1"/>
  <c r="AW39" i="9"/>
  <c r="BL39" i="9" s="1"/>
  <c r="AW14" i="9"/>
  <c r="BL14" i="9" s="1"/>
  <c r="AW38" i="9"/>
  <c r="BL38" i="9" s="1"/>
  <c r="AW51" i="9"/>
  <c r="BL51" i="9" s="1"/>
  <c r="AW11" i="9"/>
  <c r="BL11" i="9" s="1"/>
  <c r="AW19" i="9"/>
  <c r="BL19" i="9" s="1"/>
  <c r="AW27" i="9"/>
  <c r="BL27" i="9" s="1"/>
  <c r="AW35" i="9"/>
  <c r="BL35" i="9" s="1"/>
  <c r="AW10" i="9"/>
  <c r="BL10" i="9" s="1"/>
  <c r="AW18" i="9"/>
  <c r="BL18" i="9" s="1"/>
  <c r="AW26" i="9"/>
  <c r="BL26" i="9" s="1"/>
  <c r="AW34" i="9"/>
  <c r="BL34" i="9" s="1"/>
  <c r="AW42" i="9"/>
  <c r="BL42" i="9" s="1"/>
  <c r="AW22" i="9"/>
  <c r="BL22" i="9" s="1"/>
  <c r="AW4" i="9"/>
  <c r="BL4" i="9" s="1"/>
  <c r="BM46" i="9" l="1"/>
  <c r="BO46" i="9"/>
  <c r="BN46" i="9"/>
  <c r="BP46" i="9"/>
  <c r="BM31" i="9"/>
  <c r="BN31" i="9"/>
  <c r="BO31" i="9"/>
  <c r="BP31" i="9"/>
  <c r="BM23" i="9"/>
  <c r="BN23" i="9"/>
  <c r="BO23" i="9"/>
  <c r="BP23" i="9"/>
  <c r="BM45" i="9"/>
  <c r="BN45" i="9"/>
  <c r="BP45" i="9"/>
  <c r="BO45" i="9"/>
  <c r="BM22" i="9"/>
  <c r="BN22" i="9"/>
  <c r="BO22" i="9"/>
  <c r="BP22" i="9"/>
  <c r="BM15" i="9"/>
  <c r="BN15" i="9"/>
  <c r="BO15" i="9"/>
  <c r="BP15" i="9"/>
  <c r="BM54" i="9"/>
  <c r="BN54" i="9"/>
  <c r="BO54" i="9"/>
  <c r="BP54" i="9"/>
  <c r="BM41" i="9"/>
  <c r="BN41" i="9"/>
  <c r="BO41" i="9"/>
  <c r="BP41" i="9"/>
  <c r="BM9" i="9"/>
  <c r="BP9" i="9"/>
  <c r="BN9" i="9"/>
  <c r="BO9" i="9"/>
  <c r="BM10" i="9"/>
  <c r="BP10" i="9"/>
  <c r="BN10" i="9"/>
  <c r="BO10" i="9"/>
  <c r="BM21" i="9"/>
  <c r="BN21" i="9"/>
  <c r="BP21" i="9"/>
  <c r="BO21" i="9"/>
  <c r="BP4" i="9"/>
  <c r="BM4" i="9"/>
  <c r="BO4" i="9"/>
  <c r="BN4" i="9"/>
  <c r="BM28" i="9"/>
  <c r="BP28" i="9"/>
  <c r="BN28" i="9"/>
  <c r="BO28" i="9"/>
  <c r="BM19" i="9"/>
  <c r="BN19" i="9"/>
  <c r="BO19" i="9"/>
  <c r="BP19" i="9"/>
  <c r="BM52" i="9"/>
  <c r="BN52" i="9"/>
  <c r="BO52" i="9"/>
  <c r="BP52" i="9"/>
  <c r="BM37" i="9"/>
  <c r="BP37" i="9"/>
  <c r="BN37" i="9"/>
  <c r="BO37" i="9"/>
  <c r="BM39" i="9"/>
  <c r="BN39" i="9"/>
  <c r="BO39" i="9"/>
  <c r="BP39" i="9"/>
  <c r="BM32" i="9"/>
  <c r="BO32" i="9"/>
  <c r="BP32" i="9"/>
  <c r="BN32" i="9"/>
  <c r="BM50" i="9"/>
  <c r="BO50" i="9"/>
  <c r="BP50" i="9"/>
  <c r="BN50" i="9"/>
  <c r="BM34" i="9"/>
  <c r="BO34" i="9"/>
  <c r="BN34" i="9"/>
  <c r="BP34" i="9"/>
  <c r="BM47" i="9"/>
  <c r="BN47" i="9"/>
  <c r="BO47" i="9"/>
  <c r="BP47" i="9"/>
  <c r="BM33" i="9"/>
  <c r="BN33" i="9"/>
  <c r="BO33" i="9"/>
  <c r="BP33" i="9"/>
  <c r="BM29" i="9"/>
  <c r="BP29" i="9"/>
  <c r="BN29" i="9"/>
  <c r="BO29" i="9"/>
  <c r="BM53" i="9"/>
  <c r="BN53" i="9"/>
  <c r="BO53" i="9"/>
  <c r="BP53" i="9"/>
  <c r="BM27" i="9"/>
  <c r="BN27" i="9"/>
  <c r="BO27" i="9"/>
  <c r="BP27" i="9"/>
  <c r="BM13" i="9"/>
  <c r="BN13" i="9"/>
  <c r="BP13" i="9"/>
  <c r="BO13" i="9"/>
  <c r="BM51" i="9"/>
  <c r="BN51" i="9"/>
  <c r="BP51" i="9"/>
  <c r="BO51" i="9"/>
  <c r="BM48" i="9"/>
  <c r="BO48" i="9"/>
  <c r="BP48" i="9"/>
  <c r="BN48" i="9"/>
  <c r="BM16" i="9"/>
  <c r="BO16" i="9"/>
  <c r="BP16" i="9"/>
  <c r="BN16" i="9"/>
  <c r="BM18" i="9"/>
  <c r="BP18" i="9"/>
  <c r="BN18" i="9"/>
  <c r="BO18" i="9"/>
  <c r="BM6" i="9"/>
  <c r="BN6" i="9"/>
  <c r="BO6" i="9"/>
  <c r="BP6" i="9"/>
  <c r="BM8" i="9"/>
  <c r="BN8" i="9"/>
  <c r="BO8" i="9"/>
  <c r="BP8" i="9"/>
  <c r="BM43" i="9"/>
  <c r="BP43" i="9"/>
  <c r="BN43" i="9"/>
  <c r="BO43" i="9"/>
  <c r="BM11" i="9"/>
  <c r="BN11" i="9"/>
  <c r="BO11" i="9"/>
  <c r="BP11" i="9"/>
  <c r="BM42" i="9"/>
  <c r="BP42" i="9"/>
  <c r="BN42" i="9"/>
  <c r="BO42" i="9"/>
  <c r="BM20" i="9"/>
  <c r="BO20" i="9"/>
  <c r="BP20" i="9"/>
  <c r="BN20" i="9"/>
  <c r="BM5" i="9"/>
  <c r="BN5" i="9"/>
  <c r="BO5" i="9"/>
  <c r="BP5" i="9"/>
  <c r="BM38" i="9"/>
  <c r="BN38" i="9"/>
  <c r="BO38" i="9"/>
  <c r="BP38" i="9"/>
  <c r="BM35" i="9"/>
  <c r="BN35" i="9"/>
  <c r="BP35" i="9"/>
  <c r="BO35" i="9"/>
  <c r="BM12" i="9"/>
  <c r="BP12" i="9"/>
  <c r="BN12" i="9"/>
  <c r="BO12" i="9"/>
  <c r="BM44" i="9"/>
  <c r="BN44" i="9"/>
  <c r="BP44" i="9"/>
  <c r="BO44" i="9"/>
  <c r="BM30" i="9"/>
  <c r="BN30" i="9"/>
  <c r="BO30" i="9"/>
  <c r="BP30" i="9"/>
  <c r="BM36" i="9"/>
  <c r="BN36" i="9"/>
  <c r="BO36" i="9"/>
  <c r="BP36" i="9"/>
  <c r="BM24" i="9"/>
  <c r="BN24" i="9"/>
  <c r="BP24" i="9"/>
  <c r="BO24" i="9"/>
  <c r="BM49" i="9"/>
  <c r="BP49" i="9"/>
  <c r="BN49" i="9"/>
  <c r="BO49" i="9"/>
  <c r="BM14" i="9"/>
  <c r="BN14" i="9"/>
  <c r="BO14" i="9"/>
  <c r="BP14" i="9"/>
  <c r="BM26" i="9"/>
  <c r="BP26" i="9"/>
  <c r="BN26" i="9"/>
  <c r="BO26" i="9"/>
  <c r="BM25" i="9"/>
  <c r="BN25" i="9"/>
  <c r="BO25" i="9"/>
  <c r="BP25" i="9"/>
  <c r="BM7" i="9"/>
  <c r="BN7" i="9"/>
  <c r="BP7" i="9"/>
  <c r="BO7" i="9"/>
  <c r="BM17" i="9"/>
  <c r="BN17" i="9"/>
  <c r="BP17" i="9"/>
  <c r="BO17" i="9"/>
  <c r="BM40" i="9"/>
  <c r="BO40" i="9"/>
  <c r="BP40" i="9"/>
  <c r="BN40" i="9"/>
</calcChain>
</file>

<file path=xl/comments1.xml><?xml version="1.0" encoding="utf-8"?>
<comments xmlns="http://schemas.openxmlformats.org/spreadsheetml/2006/main">
  <authors>
    <author>PPD-NPS</author>
  </authors>
  <commentList>
    <comment ref="A4" authorId="0">
      <text>
        <r>
          <rPr>
            <b/>
            <sz val="9"/>
            <color indexed="81"/>
            <rFont val="Tahoma"/>
            <family val="2"/>
          </rPr>
          <t>Below are the Parameters for the input specifications of the design</t>
        </r>
      </text>
    </comment>
    <comment ref="B9" authorId="0">
      <text>
        <r>
          <rPr>
            <sz val="9"/>
            <color indexed="81"/>
            <rFont val="Tahoma"/>
            <family val="2"/>
          </rPr>
          <t>This is the estimate efficiency of the converter. A good starting point is 90%</t>
        </r>
      </text>
    </comment>
    <comment ref="B10" authorId="0">
      <text>
        <r>
          <rPr>
            <sz val="9"/>
            <color indexed="81"/>
            <rFont val="Tahoma"/>
            <family val="2"/>
          </rPr>
          <t xml:space="preserve">This is the designed for Maximum Duty Cycle. It is recommended to keep this at or below </t>
        </r>
        <r>
          <rPr>
            <b/>
            <sz val="9"/>
            <color indexed="81"/>
            <rFont val="Tahoma"/>
            <family val="2"/>
          </rPr>
          <t xml:space="preserve">50% </t>
        </r>
        <r>
          <rPr>
            <sz val="9"/>
            <color indexed="81"/>
            <rFont val="Tahoma"/>
            <family val="2"/>
          </rPr>
          <t xml:space="preserve">for a few reasons.
1. Fly-Buck and Fly-Buck-Boost it allows for better output regulation due to having enough comutation time to transfer power to the secondary
2. Flyback it keeps the RHP Zero of the plant at a higher frequency making it easier to design the compensation network. Also makes sub-harmonic oscillation less likey to occur
</t>
        </r>
      </text>
    </comment>
    <comment ref="B11" authorId="0">
      <text>
        <r>
          <rPr>
            <sz val="9"/>
            <color indexed="81"/>
            <rFont val="Tahoma"/>
            <family val="2"/>
          </rPr>
          <t xml:space="preserve">This is the ripple ratio for the primary inductance current relative to the average on-time current. </t>
        </r>
        <r>
          <rPr>
            <b/>
            <sz val="9"/>
            <color indexed="81"/>
            <rFont val="Tahoma"/>
            <family val="2"/>
          </rPr>
          <t>A good value is betwen 20% and 50% ripple.</t>
        </r>
        <r>
          <rPr>
            <sz val="9"/>
            <color indexed="81"/>
            <rFont val="Tahoma"/>
            <family val="2"/>
          </rPr>
          <t xml:space="preserve">
This will effect the size of the transformer. Also with Higher ripple core losses begin to dominate. While at smaller ripple the DCR of the windings is large because on the number of windings needed. The goal is to select a ripple ratio that minimizes both core losses and winding losses. For most designs this can be done with the above mentioned ranged.
</t>
        </r>
      </text>
    </comment>
    <comment ref="A13" authorId="0">
      <text>
        <r>
          <rPr>
            <b/>
            <sz val="9"/>
            <color indexed="81"/>
            <rFont val="Tahoma"/>
            <family val="2"/>
          </rPr>
          <t>The below parameters are specifications for the output voltage rails</t>
        </r>
        <r>
          <rPr>
            <sz val="9"/>
            <color indexed="81"/>
            <rFont val="Tahoma"/>
            <family val="2"/>
          </rPr>
          <t xml:space="preserve">
</t>
        </r>
      </text>
    </comment>
    <comment ref="A14" authorId="0">
      <text>
        <r>
          <rPr>
            <b/>
            <sz val="9"/>
            <color indexed="81"/>
            <rFont val="Tahoma"/>
            <family val="2"/>
          </rPr>
          <t>These are the design parameters for the non-isolated rails</t>
        </r>
      </text>
    </comment>
    <comment ref="A16" authorId="0">
      <text>
        <r>
          <rPr>
            <sz val="9"/>
            <color indexed="81"/>
            <rFont val="Tahoma"/>
            <family val="2"/>
          </rPr>
          <t xml:space="preserve">This is the suggested Non-Isolated rail output voltage. Which is based on the provided maximum duty cycle spec. The actual ouput voltage can be changed it increase the maximum output power. (As a general rule of thumb: the higher the primary vout the more power the Fly-Buck and handle without current limiting)
</t>
        </r>
      </text>
    </comment>
    <comment ref="A21" authorId="0">
      <text>
        <r>
          <rPr>
            <sz val="9"/>
            <color indexed="81"/>
            <rFont val="Tahoma"/>
            <family val="2"/>
          </rPr>
          <t>This is the suggested Non-Isolated rail output voltage. Which is based on the provided maximum duty cycle spec. The actual ouput voltage can be changed it increase the maximum output power. (As a general rule of thumb: the higher magnitude of the primary vout the more power the Fly-Buck-Boost and handle without current limiting)</t>
        </r>
      </text>
    </comment>
    <comment ref="A26" authorId="0">
      <text>
        <r>
          <rPr>
            <sz val="9"/>
            <color indexed="81"/>
            <rFont val="Tahoma"/>
            <family val="2"/>
          </rPr>
          <t xml:space="preserve">This is the AUX winding for the Flyback design. This can be used to replace the VCC rail for the IC reducing the power disipation of the IC.
It can also be used for Primary Side Regulation (PSR). Due to leakage inductance of the transformer, regulation of the secondary Isolated outputs will decrease as compared to an isolated feed back method.
</t>
        </r>
      </text>
    </comment>
    <comment ref="A30" authorId="0">
      <text>
        <r>
          <rPr>
            <b/>
            <sz val="9"/>
            <color indexed="81"/>
            <rFont val="Tahoma"/>
            <family val="2"/>
          </rPr>
          <t>These are the design Paramaters for the isolated output rails</t>
        </r>
        <r>
          <rPr>
            <sz val="9"/>
            <color indexed="81"/>
            <rFont val="Tahoma"/>
            <family val="2"/>
          </rPr>
          <t xml:space="preserve">
</t>
        </r>
      </text>
    </comment>
    <comment ref="A31" authorId="0">
      <text>
        <r>
          <rPr>
            <sz val="9"/>
            <color indexed="81"/>
            <rFont val="Tahoma"/>
            <family val="2"/>
          </rPr>
          <t xml:space="preserve">
First Isolated Ouput (VOUT1): 
This can be either a positive or negative number
For Flyback designs this will be considered the master phase and all dependent calculations will be based off of this value.</t>
        </r>
      </text>
    </comment>
    <comment ref="A36" authorId="0">
      <text>
        <r>
          <rPr>
            <sz val="9"/>
            <color indexed="81"/>
            <rFont val="Tahoma"/>
            <family val="2"/>
          </rPr>
          <t>Second Isolated Output Parameters</t>
        </r>
      </text>
    </comment>
    <comment ref="A41" authorId="0">
      <text>
        <r>
          <rPr>
            <sz val="9"/>
            <color indexed="81"/>
            <rFont val="Tahoma"/>
            <family val="2"/>
          </rPr>
          <t>Third Isolated Output Parameters</t>
        </r>
      </text>
    </comment>
    <comment ref="A46" authorId="0">
      <text>
        <r>
          <rPr>
            <sz val="9"/>
            <color indexed="81"/>
            <rFont val="Tahoma"/>
            <family val="2"/>
          </rPr>
          <t>Fourth Isolated Output Parameters</t>
        </r>
      </text>
    </comment>
    <comment ref="A51" authorId="0">
      <text>
        <r>
          <rPr>
            <sz val="9"/>
            <color indexed="81"/>
            <rFont val="Tahoma"/>
            <family val="2"/>
          </rPr>
          <t>fifth Isolated Output Parameters</t>
        </r>
      </text>
    </comment>
    <comment ref="A56" authorId="0">
      <text>
        <r>
          <rPr>
            <sz val="9"/>
            <color indexed="81"/>
            <rFont val="Tahoma"/>
            <family val="2"/>
          </rPr>
          <t>Sixth Isolated Output Parameters</t>
        </r>
      </text>
    </comment>
    <comment ref="A66" authorId="0">
      <text>
        <r>
          <rPr>
            <sz val="9"/>
            <color indexed="81"/>
            <rFont val="Tahoma"/>
            <family val="2"/>
          </rPr>
          <t>These are possible solutions for the input parameters above. It has been calculated that each there is atleast on IC covered in this worksheet that can handel the output power, input voltage and switching frequency</t>
        </r>
        <r>
          <rPr>
            <b/>
            <sz val="9"/>
            <color indexed="81"/>
            <rFont val="Tahoma"/>
            <family val="2"/>
          </rPr>
          <t xml:space="preserve">
Note: </t>
        </r>
        <r>
          <rPr>
            <sz val="9"/>
            <color indexed="81"/>
            <rFont val="Tahoma"/>
            <family val="2"/>
          </rPr>
          <t>The any of these topologies maybe possible just not for the selected parts for this comparison worksheet.</t>
        </r>
      </text>
    </comment>
    <comment ref="D76" authorId="0">
      <text>
        <r>
          <rPr>
            <sz val="9"/>
            <color indexed="81"/>
            <rFont val="Tahoma"/>
            <family val="2"/>
          </rPr>
          <t>This is the suggested number of external componets to the IC needed to insure reliable operation. The more external componest the higher the cost and the larger the total solution size</t>
        </r>
      </text>
    </comment>
    <comment ref="E76" authorId="0">
      <text>
        <r>
          <rPr>
            <sz val="9"/>
            <color indexed="81"/>
            <rFont val="Tahoma"/>
            <family val="2"/>
          </rPr>
          <t xml:space="preserve">This is a relative ranking of the design solution costs. It includes IC and external componets. The more '$' signs the more expensive it is with respect to the most expensive solution selected in the design procedure
</t>
        </r>
      </text>
    </comment>
  </commentList>
</comments>
</file>

<file path=xl/comments10.xml><?xml version="1.0" encoding="utf-8"?>
<comments xmlns="http://schemas.openxmlformats.org/spreadsheetml/2006/main">
  <authors>
    <author>PPD-NPS</author>
  </authors>
  <commentList>
    <comment ref="A15" authorId="0">
      <text>
        <r>
          <rPr>
            <sz val="9"/>
            <color indexed="81"/>
            <rFont val="Tahoma"/>
            <charset val="1"/>
          </rPr>
          <t xml:space="preserve">This is the window fill factor with windings. Typical values range between .2 and .65. Ku must be between 0 and 1.
</t>
        </r>
      </text>
    </comment>
    <comment ref="A16" authorId="0">
      <text>
        <r>
          <rPr>
            <sz val="9"/>
            <color indexed="81"/>
            <rFont val="Tahoma"/>
            <family val="2"/>
          </rPr>
          <t>For these low power levels the Power loss should be &lt;&lt;1W</t>
        </r>
      </text>
    </comment>
    <comment ref="A47" authorId="0">
      <text>
        <r>
          <rPr>
            <sz val="9"/>
            <color indexed="81"/>
            <rFont val="Tahoma"/>
            <charset val="1"/>
          </rPr>
          <t xml:space="preserve">This is the window fill factor with windings. Typical values range between .2 and .65. Ku must be between 0 and 1. This will affect the over all size of the core
</t>
        </r>
      </text>
    </comment>
    <comment ref="A48" authorId="0">
      <text>
        <r>
          <rPr>
            <sz val="9"/>
            <color indexed="81"/>
            <rFont val="Tahoma"/>
            <family val="2"/>
          </rPr>
          <t>These are the desired copper losses. To maxize effciecny copper losses and core losses should be equal.
For these low power levels the Power loss should be &lt;&lt;1W.</t>
        </r>
      </text>
    </comment>
    <comment ref="A49" authorId="0">
      <text>
        <r>
          <rPr>
            <sz val="9"/>
            <color indexed="81"/>
            <rFont val="Tahoma"/>
            <family val="2"/>
          </rPr>
          <t>This is the maximum flux density that the core will be designed for. Note that the core material will have a maximum limit that should not be exceeded. For ferrite cores this is usually around 300mT</t>
        </r>
      </text>
    </comment>
    <comment ref="A50" authorId="0">
      <text>
        <r>
          <rPr>
            <sz val="9"/>
            <color indexed="81"/>
            <rFont val="Tahoma"/>
            <family val="2"/>
          </rPr>
          <t>This is a parameter used to suggest the given core size for the above parameters. The greater this number the larger the core size</t>
        </r>
      </text>
    </comment>
    <comment ref="A86" authorId="0">
      <text>
        <r>
          <rPr>
            <sz val="9"/>
            <color indexed="81"/>
            <rFont val="Tahoma"/>
            <charset val="1"/>
          </rPr>
          <t xml:space="preserve">This is the window fill factor with windings. Typical values range between .2 and .65. Ku must be between 0 and 1.
</t>
        </r>
      </text>
    </comment>
    <comment ref="A87" authorId="0">
      <text>
        <r>
          <rPr>
            <sz val="9"/>
            <color indexed="81"/>
            <rFont val="Tahoma"/>
            <family val="2"/>
          </rPr>
          <t>For these low power levels the Power loss should be &lt;&lt;1W</t>
        </r>
      </text>
    </comment>
    <comment ref="A108" authorId="0">
      <text>
        <r>
          <rPr>
            <sz val="9"/>
            <color indexed="81"/>
            <rFont val="Tahoma"/>
            <family val="2"/>
          </rPr>
          <t>This is the surface area the winding will take up of the window area</t>
        </r>
      </text>
    </comment>
    <comment ref="A123" authorId="0">
      <text>
        <r>
          <rPr>
            <sz val="9"/>
            <color indexed="81"/>
            <rFont val="Tahoma"/>
            <charset val="1"/>
          </rPr>
          <t xml:space="preserve">This is the window fill factor with windings. Typical values range between .2 and .65. Ku must be between 0 and 1.
</t>
        </r>
      </text>
    </comment>
    <comment ref="A124" authorId="0">
      <text>
        <r>
          <rPr>
            <sz val="9"/>
            <color indexed="81"/>
            <rFont val="Tahoma"/>
            <family val="2"/>
          </rPr>
          <t>For these low power levels the Power loss should be &lt;&lt;1W</t>
        </r>
      </text>
    </comment>
  </commentList>
</comments>
</file>

<file path=xl/comments11.xml><?xml version="1.0" encoding="utf-8"?>
<comments xmlns="http://schemas.openxmlformats.org/spreadsheetml/2006/main">
  <authors>
    <author>PPD-NPS</author>
  </authors>
  <commentList>
    <comment ref="K1" authorId="0">
      <text>
        <r>
          <rPr>
            <b/>
            <sz val="9"/>
            <color indexed="81"/>
            <rFont val="Tahoma"/>
            <family val="2"/>
          </rPr>
          <t>PPD-NPS:</t>
        </r>
        <r>
          <rPr>
            <sz val="9"/>
            <color indexed="81"/>
            <rFont val="Tahoma"/>
            <family val="2"/>
          </rPr>
          <t xml:space="preserve">
These still need to be nailed down it seems like the equations aren't correct</t>
        </r>
      </text>
    </comment>
  </commentList>
</comments>
</file>

<file path=xl/comments12.xml><?xml version="1.0" encoding="utf-8"?>
<comments xmlns="http://schemas.openxmlformats.org/spreadsheetml/2006/main">
  <authors>
    <author>PPD-NPS</author>
  </authors>
  <commentList>
    <comment ref="C3" authorId="0">
      <text>
        <r>
          <rPr>
            <sz val="9"/>
            <color indexed="81"/>
            <rFont val="Tahoma"/>
            <family val="2"/>
          </rPr>
          <t>Topology
1-Fly-Buck/Fly-Buck-Boost
2-Flyback</t>
        </r>
      </text>
    </comment>
    <comment ref="G3" authorId="0">
      <text>
        <r>
          <rPr>
            <b/>
            <sz val="9"/>
            <color indexed="81"/>
            <rFont val="Tahoma"/>
            <family val="2"/>
          </rPr>
          <t xml:space="preserve">Rated Input Voltage for Fly-Buck-Boost
</t>
        </r>
        <r>
          <rPr>
            <sz val="9"/>
            <color indexed="81"/>
            <rFont val="Tahoma"/>
            <family val="2"/>
          </rPr>
          <t>This will depend on the selected primary voltage</t>
        </r>
      </text>
    </comment>
    <comment ref="L3" authorId="0">
      <text>
        <r>
          <rPr>
            <b/>
            <sz val="9"/>
            <color indexed="81"/>
            <rFont val="Tahoma"/>
            <family val="2"/>
          </rPr>
          <t xml:space="preserve">K
</t>
        </r>
        <r>
          <rPr>
            <sz val="9"/>
            <color indexed="81"/>
            <rFont val="Tahoma"/>
            <family val="2"/>
          </rPr>
          <t>This is the coefficient used to calculate the Ron resistor of COT parts.</t>
        </r>
      </text>
    </comment>
    <comment ref="S3" authorId="0">
      <text>
        <r>
          <rPr>
            <b/>
            <sz val="9"/>
            <color indexed="81"/>
            <rFont val="Tahoma"/>
            <family val="2"/>
          </rPr>
          <t xml:space="preserve">External FETs
</t>
        </r>
      </text>
    </comment>
    <comment ref="AA3" authorId="0">
      <text>
        <r>
          <rPr>
            <b/>
            <sz val="9"/>
            <color indexed="81"/>
            <rFont val="Tahoma"/>
            <family val="2"/>
          </rPr>
          <t xml:space="preserve">Use this for calculations to ensure that Current Limit isn't hit
</t>
        </r>
      </text>
    </comment>
    <comment ref="AC3" authorId="0">
      <text>
        <r>
          <rPr>
            <sz val="9"/>
            <color indexed="81"/>
            <rFont val="Tahoma"/>
            <family val="2"/>
          </rPr>
          <t>This will need to be set for the COT parts depending on the switching frequency</t>
        </r>
      </text>
    </comment>
    <comment ref="AD3" authorId="0">
      <text>
        <r>
          <rPr>
            <sz val="9"/>
            <color indexed="81"/>
            <rFont val="Tahoma"/>
            <family val="2"/>
          </rPr>
          <t>1: Ripple Injection for COT
2. Error Amp/Opto Couple
3. Opto Only</t>
        </r>
      </text>
    </comment>
    <comment ref="AF3" authorId="0">
      <text>
        <r>
          <rPr>
            <sz val="9"/>
            <color indexed="81"/>
            <rFont val="Tahoma"/>
            <family val="2"/>
          </rPr>
          <t xml:space="preserve">Type 1: Ripple Cap
Type 2: Zero Cap
</t>
        </r>
      </text>
    </comment>
    <comment ref="AG3" authorId="0">
      <text>
        <r>
          <rPr>
            <sz val="9"/>
            <color indexed="81"/>
            <rFont val="Tahoma"/>
            <family val="2"/>
          </rPr>
          <t>Type 1: AC Couple Cap
Type 2: Pole Cap Cap</t>
        </r>
      </text>
    </comment>
    <comment ref="B4" authorId="0">
      <text>
        <r>
          <rPr>
            <b/>
            <sz val="9"/>
            <color indexed="81"/>
            <rFont val="Tahoma"/>
            <family val="2"/>
          </rPr>
          <t>PPD-NPS:</t>
        </r>
        <r>
          <rPr>
            <sz val="9"/>
            <color indexed="81"/>
            <rFont val="Tahoma"/>
            <family val="2"/>
          </rPr>
          <t xml:space="preserve">
</t>
        </r>
      </text>
    </comment>
    <comment ref="D4" authorId="0">
      <text>
        <r>
          <rPr>
            <b/>
            <sz val="9"/>
            <color indexed="81"/>
            <rFont val="Tahoma"/>
            <family val="2"/>
          </rPr>
          <t xml:space="preserve">VIN MIN LIMIT
</t>
        </r>
        <r>
          <rPr>
            <sz val="9"/>
            <color indexed="81"/>
            <rFont val="Tahoma"/>
            <family val="2"/>
          </rPr>
          <t>This is low because there is a 2.5V drop on the VCC LDO</t>
        </r>
      </text>
    </comment>
    <comment ref="N8" authorId="0">
      <text>
        <r>
          <rPr>
            <sz val="9"/>
            <color indexed="81"/>
            <rFont val="Tahoma"/>
            <family val="2"/>
          </rPr>
          <t>Note: This is with the -1 device. -2 device will only have 50% duty cycle max.</t>
        </r>
      </text>
    </comment>
    <comment ref="H9" authorId="0">
      <text>
        <r>
          <rPr>
            <sz val="9"/>
            <color indexed="81"/>
            <rFont val="Tahoma"/>
            <family val="2"/>
          </rPr>
          <t>LM5021 will only work in an opto coupler setup.
No internal error amp</t>
        </r>
      </text>
    </comment>
    <comment ref="BE10"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1" authorId="0">
      <text>
        <r>
          <rPr>
            <sz val="9"/>
            <color indexed="81"/>
            <rFont val="Tahoma"/>
            <family val="2"/>
          </rPr>
          <t>This is the spec'd gate charge need to switch to gate capacitance</t>
        </r>
      </text>
    </comment>
    <comment ref="BF11" authorId="0">
      <text>
        <r>
          <rPr>
            <b/>
            <sz val="9"/>
            <color indexed="81"/>
            <rFont val="Tahoma"/>
            <family val="2"/>
          </rPr>
          <t>PPD-NPS:</t>
        </r>
        <r>
          <rPr>
            <sz val="9"/>
            <color indexed="81"/>
            <rFont val="Tahoma"/>
            <family val="2"/>
          </rPr>
          <t xml:space="preserve">
Current Sense value is scaled down by .7  before the slope compe is added in</t>
        </r>
      </text>
    </comment>
    <comment ref="A12" authorId="0">
      <text>
        <r>
          <rPr>
            <b/>
            <sz val="9"/>
            <color indexed="81"/>
            <rFont val="Tahoma"/>
            <charset val="1"/>
          </rPr>
          <t>PPD-NPS:</t>
        </r>
        <r>
          <rPr>
            <sz val="9"/>
            <color indexed="81"/>
            <rFont val="Tahoma"/>
            <charset val="1"/>
          </rPr>
          <t xml:space="preserve">
These are DCM Parts. Due to MOSFET Selection</t>
        </r>
      </text>
    </comment>
    <comment ref="N12" authorId="0">
      <text>
        <r>
          <rPr>
            <sz val="9"/>
            <color indexed="81"/>
            <rFont val="Tahoma"/>
            <family val="2"/>
          </rPr>
          <t>Note: This is with the -1 device. -2 device will only have 50% duty cycle max.</t>
        </r>
      </text>
    </comment>
    <comment ref="B13" authorId="0">
      <text>
        <r>
          <rPr>
            <b/>
            <sz val="9"/>
            <color indexed="81"/>
            <rFont val="Tahoma"/>
            <charset val="1"/>
          </rPr>
          <t>PPD-NPS:</t>
        </r>
        <r>
          <rPr>
            <sz val="9"/>
            <color indexed="81"/>
            <rFont val="Tahoma"/>
            <charset val="1"/>
          </rPr>
          <t xml:space="preserve">
This part must be used with isolated feed back only. It does not have an internal error armp</t>
        </r>
      </text>
    </comment>
    <comment ref="H13" authorId="0">
      <text>
        <r>
          <rPr>
            <sz val="9"/>
            <color indexed="81"/>
            <rFont val="Tahoma"/>
            <family val="2"/>
          </rPr>
          <t>LM5021 will only work in an opto coupler setup.
No internal error amp</t>
        </r>
      </text>
    </comment>
    <comment ref="BE14"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5" authorId="0">
      <text>
        <r>
          <rPr>
            <sz val="9"/>
            <color indexed="81"/>
            <rFont val="Tahoma"/>
            <family val="2"/>
          </rPr>
          <t>This is the spec'd gate charge need to switch to gate capacitance</t>
        </r>
      </text>
    </comment>
    <comment ref="BF15" authorId="0">
      <text>
        <r>
          <rPr>
            <b/>
            <sz val="9"/>
            <color indexed="81"/>
            <rFont val="Tahoma"/>
            <family val="2"/>
          </rPr>
          <t>PPD-NPS:</t>
        </r>
        <r>
          <rPr>
            <sz val="9"/>
            <color indexed="81"/>
            <rFont val="Tahoma"/>
            <family val="2"/>
          </rPr>
          <t xml:space="preserve">
Current Sense value is scaled down by .7  before the slope compe is added in</t>
        </r>
      </text>
    </comment>
  </commentList>
</comments>
</file>

<file path=xl/comments13.xml><?xml version="1.0" encoding="utf-8"?>
<comments xmlns="http://schemas.openxmlformats.org/spreadsheetml/2006/main">
  <authors>
    <author>PPD-NPS</author>
  </authors>
  <commentList>
    <comment ref="B2" authorId="0">
      <text>
        <r>
          <rPr>
            <b/>
            <sz val="9"/>
            <color indexed="81"/>
            <rFont val="Tahoma"/>
            <family val="2"/>
          </rPr>
          <t xml:space="preserve">GWR:
</t>
        </r>
        <r>
          <rPr>
            <sz val="9"/>
            <color indexed="81"/>
            <rFont val="Tahoma"/>
            <family val="2"/>
          </rPr>
          <t>This was created using forumlas fron Vijay Chowdary at TI PDC. I modified the code to make curves from both modes for operation</t>
        </r>
      </text>
    </comment>
  </commentList>
</comments>
</file>

<file path=xl/comments2.xml><?xml version="1.0" encoding="utf-8"?>
<comments xmlns="http://schemas.openxmlformats.org/spreadsheetml/2006/main">
  <authors>
    <author>PPD-NPS</author>
  </authors>
  <commentList>
    <comment ref="A14" authorId="0">
      <text>
        <r>
          <rPr>
            <sz val="9"/>
            <color indexed="81"/>
            <rFont val="Tahoma"/>
            <family val="2"/>
          </rPr>
          <t xml:space="preserve">This is the Ns/Np ratio
</t>
        </r>
      </text>
    </comment>
    <comment ref="A25" authorId="0">
      <text>
        <r>
          <rPr>
            <sz val="9"/>
            <color indexed="81"/>
            <rFont val="Tahoma"/>
            <family val="2"/>
          </rPr>
          <t>The value will come help decided the compensation network for COT parts. 
These values are for efficiency calculations if tansformer is not used.</t>
        </r>
      </text>
    </comment>
    <comment ref="A33" authorId="0">
      <text>
        <r>
          <rPr>
            <sz val="9"/>
            <color indexed="81"/>
            <rFont val="Tahoma"/>
            <family val="2"/>
          </rPr>
          <t>Link to product page</t>
        </r>
      </text>
    </comment>
    <comment ref="A129" authorId="0">
      <text>
        <r>
          <rPr>
            <sz val="9"/>
            <color indexed="81"/>
            <rFont val="Tahoma"/>
            <family val="2"/>
          </rPr>
          <t xml:space="preserve">Cac &gt;&gt; Cr for proper operation.
Typically this value is acceptable for the AC coupling capacitor. </t>
        </r>
      </text>
    </comment>
    <comment ref="A134"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3.xml><?xml version="1.0" encoding="utf-8"?>
<comments xmlns="http://schemas.openxmlformats.org/spreadsheetml/2006/main">
  <authors>
    <author>PPD-NPS</author>
  </authors>
  <commentList>
    <comment ref="A124" authorId="0">
      <text>
        <r>
          <rPr>
            <sz val="9"/>
            <color indexed="81"/>
            <rFont val="Tahoma"/>
            <family val="2"/>
          </rPr>
          <t xml:space="preserve">Cac &gt;&gt; Cr for proper operation.
Typically this value is acceptable for the AC coupling capacitor. </t>
        </r>
      </text>
    </comment>
    <comment ref="A129"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4.xml><?xml version="1.0" encoding="utf-8"?>
<comments xmlns="http://schemas.openxmlformats.org/spreadsheetml/2006/main">
  <authors>
    <author>PPD-NPS</author>
  </authors>
  <commentList>
    <comment ref="B16" authorId="0">
      <text>
        <r>
          <rPr>
            <sz val="9"/>
            <color indexed="81"/>
            <rFont val="Tahoma"/>
            <family val="2"/>
          </rPr>
          <t>Master Output will determine the rest or the output winding ratios</t>
        </r>
      </text>
    </comment>
    <comment ref="A28" authorId="0">
      <text>
        <r>
          <rPr>
            <sz val="9"/>
            <color indexed="81"/>
            <rFont val="Tahoma"/>
            <family val="2"/>
          </rPr>
          <t>This is the leakage inductance of the transformer primary winding. This is inductance that stores energy that is not transferred to the secondary side and can be a major obstacle in the design process by affecting everything from efficiency (need an extra clamp circuit) to load and line regulation. A good place to model the leakage inductacne is about 10% of the primary winding inductance value</t>
        </r>
      </text>
    </comment>
    <comment ref="B68" authorId="0">
      <text>
        <r>
          <rPr>
            <sz val="9"/>
            <color indexed="81"/>
            <rFont val="Tahoma"/>
            <family val="2"/>
          </rPr>
          <t xml:space="preserve">If the LM5001 is selected the sense resistor is internal. This cell should be set to 50mΩ
</t>
        </r>
      </text>
    </comment>
    <comment ref="B69" authorId="0">
      <text>
        <r>
          <rPr>
            <sz val="9"/>
            <color indexed="81"/>
            <rFont val="Tahoma"/>
            <family val="2"/>
          </rPr>
          <t xml:space="preserve">If red the current limit is too small and a new sense resistor should be choosen. Ensure that your desired current limit is set high enough.
</t>
        </r>
      </text>
    </comment>
    <comment ref="A77" authorId="0">
      <text>
        <r>
          <rPr>
            <sz val="9"/>
            <color indexed="81"/>
            <rFont val="Tahoma"/>
            <family val="2"/>
          </rPr>
          <t xml:space="preserve">A snubber is needed to protect the MOSFET in Flyback topology. This is because the energy of the leakage inductance from the transformer chages up the output capacitance of the MOSFET when it is switched off. This causes a large voltage spike on the switch node that can be much larger than the input voltgae.
A snubber clamps the voltage at a safe level and disipates the leakage inducatance energy while keeping the MOSFET safe.
Snubber is not needed for the Fly-Buck and Fly-Buck-Boost. This is due to the topology. See notes in the Fly-Buck. </t>
        </r>
      </text>
    </comment>
    <comment ref="A125" authorId="0">
      <text>
        <r>
          <rPr>
            <sz val="9"/>
            <color indexed="81"/>
            <rFont val="Tahoma"/>
            <charset val="1"/>
          </rPr>
          <t xml:space="preserve">This is the reverse voltage that the output diode sees during the off time of the converter.
</t>
        </r>
      </text>
    </comment>
    <comment ref="A183" authorId="0">
      <text>
        <r>
          <rPr>
            <sz val="9"/>
            <color indexed="81"/>
            <rFont val="Tahoma"/>
            <family val="2"/>
          </rPr>
          <t>Set over Zero</t>
        </r>
      </text>
    </comment>
    <comment ref="A185" authorId="0">
      <text>
        <r>
          <rPr>
            <sz val="9"/>
            <color indexed="81"/>
            <rFont val="Tahoma"/>
            <family val="2"/>
          </rPr>
          <t>Set over LF Pole</t>
        </r>
      </text>
    </comment>
    <comment ref="A208" authorId="0">
      <text>
        <r>
          <rPr>
            <b/>
            <sz val="9"/>
            <color indexed="81"/>
            <rFont val="Tahoma"/>
            <family val="2"/>
          </rPr>
          <t>This capaictor sets the pole location for the compensation network</t>
        </r>
      </text>
    </comment>
  </commentList>
</comments>
</file>

<file path=xl/comments5.xml><?xml version="1.0" encoding="utf-8"?>
<comments xmlns="http://schemas.openxmlformats.org/spreadsheetml/2006/main">
  <authors>
    <author>PPD-NPS</author>
  </authors>
  <commentList>
    <comment ref="X3" authorId="0">
      <text>
        <r>
          <rPr>
            <b/>
            <sz val="9"/>
            <color indexed="81"/>
            <rFont val="Tahoma"/>
            <family val="2"/>
          </rPr>
          <t>PPD-NPS:</t>
        </r>
        <r>
          <rPr>
            <sz val="9"/>
            <color indexed="81"/>
            <rFont val="Tahoma"/>
            <family val="2"/>
          </rPr>
          <t xml:space="preserve">
This is the current pulse during the off time only</t>
        </r>
      </text>
    </commen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E25" authorId="0">
      <text>
        <r>
          <rPr>
            <sz val="9"/>
            <color indexed="81"/>
            <rFont val="Tahoma"/>
            <family val="2"/>
          </rPr>
          <t>Based on Ripple Ratio Calculation</t>
        </r>
      </text>
    </comment>
    <comment ref="B26" authorId="0">
      <text>
        <r>
          <rPr>
            <sz val="9"/>
            <color indexed="81"/>
            <rFont val="Tahoma"/>
            <family val="2"/>
          </rPr>
          <t>This is at full Load</t>
        </r>
      </text>
    </comment>
    <comment ref="A39" authorId="0">
      <text>
        <r>
          <rPr>
            <b/>
            <sz val="9"/>
            <color indexed="81"/>
            <rFont val="Tahoma"/>
            <family val="2"/>
          </rPr>
          <t>PPD-NPS:</t>
        </r>
        <r>
          <rPr>
            <sz val="9"/>
            <color indexed="81"/>
            <rFont val="Tahoma"/>
            <family val="2"/>
          </rPr>
          <t xml:space="preserve">
These are calculated fot the Worst Case: Max Load, Maximum On time (Vin_Min)
</t>
        </r>
      </text>
    </comment>
    <comment ref="B61" authorId="0">
      <text>
        <r>
          <rPr>
            <b/>
            <sz val="9"/>
            <color indexed="81"/>
            <rFont val="Tahoma"/>
            <charset val="1"/>
          </rPr>
          <t>PPD-NPS:</t>
        </r>
        <r>
          <rPr>
            <sz val="9"/>
            <color indexed="81"/>
            <rFont val="Tahoma"/>
            <charset val="1"/>
          </rPr>
          <t xml:space="preserve">
This is due to the nature of the buck and Buck-Boost Topology.
The body diode of the high-side FET clamps to VIN </t>
        </r>
      </text>
    </comment>
    <comment ref="A91" authorId="0">
      <text>
        <r>
          <rPr>
            <b/>
            <sz val="9"/>
            <color indexed="81"/>
            <rFont val="Tahoma"/>
            <family val="2"/>
          </rPr>
          <t xml:space="preserve">This if for the LM5160 which is the highest power COT that can be used for Fly-Buck
</t>
        </r>
      </text>
    </comment>
    <comment ref="A94" authorId="0">
      <text>
        <r>
          <rPr>
            <sz val="9"/>
            <color indexed="81"/>
            <rFont val="Tahoma"/>
            <family val="2"/>
          </rPr>
          <t xml:space="preserve">This is the reference Voltage of the part
</t>
        </r>
      </text>
    </comment>
    <comment ref="A99" authorId="0">
      <text>
        <r>
          <rPr>
            <b/>
            <sz val="9"/>
            <color indexed="81"/>
            <rFont val="Tahoma"/>
            <family val="2"/>
          </rPr>
          <t xml:space="preserve">This if for the LM5160 which is the highest power COT that can be used for Fly-Buck
</t>
        </r>
      </text>
    </comment>
    <comment ref="A102" authorId="0">
      <text>
        <r>
          <rPr>
            <sz val="9"/>
            <color indexed="81"/>
            <rFont val="Tahoma"/>
            <family val="2"/>
          </rPr>
          <t xml:space="preserve">This is the reference Voltage of the part
</t>
        </r>
      </text>
    </comment>
    <comment ref="A107" authorId="0">
      <text>
        <r>
          <rPr>
            <b/>
            <sz val="9"/>
            <color indexed="81"/>
            <rFont val="Tahoma"/>
            <family val="2"/>
          </rPr>
          <t xml:space="preserve">This if for the LM5160 which is the highest power COT that can be used for Fly-Buck
</t>
        </r>
      </text>
    </comment>
    <comment ref="A110" authorId="0">
      <text>
        <r>
          <rPr>
            <sz val="9"/>
            <color indexed="81"/>
            <rFont val="Tahoma"/>
            <family val="2"/>
          </rPr>
          <t xml:space="preserve">This is the reference Voltage of the part
</t>
        </r>
      </text>
    </comment>
    <comment ref="A115" authorId="0">
      <text>
        <r>
          <rPr>
            <b/>
            <sz val="9"/>
            <color indexed="81"/>
            <rFont val="Tahoma"/>
            <family val="2"/>
          </rPr>
          <t xml:space="preserve">This if for the LM5160 which is the highest power COT that can be used for Fly-Buck
</t>
        </r>
      </text>
    </comment>
    <comment ref="A118" authorId="0">
      <text>
        <r>
          <rPr>
            <sz val="9"/>
            <color indexed="81"/>
            <rFont val="Tahoma"/>
            <family val="2"/>
          </rPr>
          <t xml:space="preserve">This is the reference Voltage of the part
</t>
        </r>
      </text>
    </comment>
  </commentList>
</comments>
</file>

<file path=xl/comments6.xml><?xml version="1.0" encoding="utf-8"?>
<comments xmlns="http://schemas.openxmlformats.org/spreadsheetml/2006/main">
  <authors>
    <author>PPD-NPS</author>
  </authors>
  <commentList>
    <comment ref="D17" authorId="0">
      <text>
        <r>
          <rPr>
            <sz val="9"/>
            <color indexed="81"/>
            <rFont val="Tahoma"/>
            <family val="2"/>
          </rPr>
          <t>These are the same values as from the CCM deisgn. Even with operating in DCM these values stay the same</t>
        </r>
      </text>
    </comment>
    <comment ref="A26" authorId="0">
      <text>
        <r>
          <rPr>
            <sz val="9"/>
            <color indexed="81"/>
            <rFont val="Tahoma"/>
            <family val="2"/>
          </rPr>
          <t>Below this value the flyback topology will operate in DCM always.
Above this value the flyback topology will operate in CCM</t>
        </r>
      </text>
    </comment>
    <comment ref="B65" authorId="0">
      <text>
        <r>
          <rPr>
            <sz val="9"/>
            <color indexed="81"/>
            <rFont val="Tahoma"/>
            <family val="2"/>
          </rPr>
          <t>If the LM5001 is selected the sense resistor is internal. This cell should be set to 50m</t>
        </r>
        <r>
          <rPr>
            <sz val="9"/>
            <color indexed="81"/>
            <rFont val="Calibri"/>
            <family val="2"/>
          </rPr>
          <t>Ω</t>
        </r>
      </text>
    </comment>
    <comment ref="B66" authorId="0">
      <text>
        <r>
          <rPr>
            <sz val="9"/>
            <color indexed="81"/>
            <rFont val="Tahoma"/>
            <family val="2"/>
          </rPr>
          <t xml:space="preserve">If red the current limit is too small and a new sense resistor should be choosen. Ensure that your desired current limit is set high enough.
</t>
        </r>
      </text>
    </comment>
    <comment ref="A184" authorId="0">
      <text>
        <r>
          <rPr>
            <sz val="9"/>
            <color indexed="81"/>
            <rFont val="Tahoma"/>
            <family val="2"/>
          </rPr>
          <t>Set over Zero</t>
        </r>
      </text>
    </comment>
    <comment ref="A186" authorId="0">
      <text>
        <r>
          <rPr>
            <sz val="9"/>
            <color indexed="81"/>
            <rFont val="Tahoma"/>
            <family val="2"/>
          </rPr>
          <t>Set over LF Pole</t>
        </r>
      </text>
    </comment>
    <comment ref="A207" authorId="0">
      <text>
        <r>
          <rPr>
            <b/>
            <sz val="9"/>
            <color indexed="81"/>
            <rFont val="Tahoma"/>
            <family val="2"/>
          </rPr>
          <t>This capaictor sets the pole location for the compensation network</t>
        </r>
      </text>
    </comment>
  </commentList>
</comments>
</file>

<file path=xl/comments7.xml><?xml version="1.0" encoding="utf-8"?>
<comments xmlns="http://schemas.openxmlformats.org/spreadsheetml/2006/main">
  <authors>
    <author>PPD-NPS</author>
  </authors>
  <commentLis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B60" authorId="0">
      <text>
        <r>
          <rPr>
            <b/>
            <sz val="9"/>
            <color indexed="81"/>
            <rFont val="Tahoma"/>
            <charset val="1"/>
          </rPr>
          <t>PPD-NPS:</t>
        </r>
        <r>
          <rPr>
            <sz val="9"/>
            <color indexed="81"/>
            <rFont val="Tahoma"/>
            <charset val="1"/>
          </rPr>
          <t xml:space="preserve">
This is due to the nature of the buck and Buck-Boost Topology.
The body diode of the high-side FET clamps to VIN </t>
        </r>
      </text>
    </comment>
    <comment ref="A92" authorId="0">
      <text>
        <r>
          <rPr>
            <b/>
            <sz val="9"/>
            <color indexed="81"/>
            <rFont val="Tahoma"/>
            <family val="2"/>
          </rPr>
          <t xml:space="preserve">This if for the LM5160 which is the highest power COT that can be used for Fly-Buck
</t>
        </r>
      </text>
    </comment>
    <comment ref="A95" authorId="0">
      <text>
        <r>
          <rPr>
            <sz val="9"/>
            <color indexed="81"/>
            <rFont val="Tahoma"/>
            <family val="2"/>
          </rPr>
          <t xml:space="preserve">This is the reference Voltage of the part
</t>
        </r>
      </text>
    </comment>
    <comment ref="A100" authorId="0">
      <text>
        <r>
          <rPr>
            <b/>
            <sz val="9"/>
            <color indexed="81"/>
            <rFont val="Tahoma"/>
            <family val="2"/>
          </rPr>
          <t xml:space="preserve">This if for the LM5160 which is the highest power COT that can be used for Fly-Buck
</t>
        </r>
      </text>
    </comment>
    <comment ref="A103" authorId="0">
      <text>
        <r>
          <rPr>
            <sz val="9"/>
            <color indexed="81"/>
            <rFont val="Tahoma"/>
            <family val="2"/>
          </rPr>
          <t xml:space="preserve">This is the reference Voltage of the part
</t>
        </r>
      </text>
    </comment>
    <comment ref="A108" authorId="0">
      <text>
        <r>
          <rPr>
            <b/>
            <sz val="9"/>
            <color indexed="81"/>
            <rFont val="Tahoma"/>
            <family val="2"/>
          </rPr>
          <t xml:space="preserve">This if for the LM5160 which is the highest power COT that can be used for Fly-Buck
</t>
        </r>
      </text>
    </comment>
    <comment ref="A111" authorId="0">
      <text>
        <r>
          <rPr>
            <sz val="9"/>
            <color indexed="81"/>
            <rFont val="Tahoma"/>
            <family val="2"/>
          </rPr>
          <t xml:space="preserve">This is the reference Voltage of the part
</t>
        </r>
      </text>
    </comment>
    <comment ref="A116" authorId="0">
      <text>
        <r>
          <rPr>
            <b/>
            <sz val="9"/>
            <color indexed="81"/>
            <rFont val="Tahoma"/>
            <family val="2"/>
          </rPr>
          <t xml:space="preserve">This if for the LM5160 which is the highest power COT that can be used for Fly-Buck
</t>
        </r>
      </text>
    </comment>
    <comment ref="A119" authorId="0">
      <text>
        <r>
          <rPr>
            <sz val="9"/>
            <color indexed="81"/>
            <rFont val="Tahoma"/>
            <family val="2"/>
          </rPr>
          <t xml:space="preserve">This is the reference Voltage of the part
</t>
        </r>
      </text>
    </comment>
  </commentList>
</comments>
</file>

<file path=xl/comments8.xml><?xml version="1.0" encoding="utf-8"?>
<comments xmlns="http://schemas.openxmlformats.org/spreadsheetml/2006/main">
  <authors>
    <author>PPD-NPS</author>
  </authors>
  <commentList>
    <comment ref="A10" authorId="0">
      <text>
        <r>
          <rPr>
            <b/>
            <sz val="9"/>
            <color indexed="81"/>
            <rFont val="Tahoma"/>
            <family val="2"/>
          </rPr>
          <t>PPD-NPS:</t>
        </r>
        <r>
          <rPr>
            <sz val="9"/>
            <color indexed="81"/>
            <rFont val="Tahoma"/>
            <family val="2"/>
          </rPr>
          <t xml:space="preserve">
These are only calculated if there is no current on the primary side of the Fly-Buck and Fly-Buck-Boost.
Only if Isolated rails are needed.</t>
        </r>
      </text>
    </commen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 ref="A85" authorId="0">
      <text>
        <r>
          <rPr>
            <b/>
            <sz val="9"/>
            <color indexed="81"/>
            <rFont val="Tahoma"/>
            <family val="2"/>
          </rPr>
          <t>PPD-NPS:</t>
        </r>
        <r>
          <rPr>
            <sz val="9"/>
            <color indexed="81"/>
            <rFont val="Tahoma"/>
            <family val="2"/>
          </rPr>
          <t xml:space="preserve">
This if for the LM50xx family. There is a resistor divider in the COMP net work to keep the comp from railing
</t>
        </r>
      </text>
    </comment>
  </commentList>
</comments>
</file>

<file path=xl/comments9.xml><?xml version="1.0" encoding="utf-8"?>
<comments xmlns="http://schemas.openxmlformats.org/spreadsheetml/2006/main">
  <authors>
    <author>PPD-NPS</author>
  </authors>
  <commentLis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List>
</comments>
</file>

<file path=xl/sharedStrings.xml><?xml version="1.0" encoding="utf-8"?>
<sst xmlns="http://schemas.openxmlformats.org/spreadsheetml/2006/main" count="2837" uniqueCount="971">
  <si>
    <t>VIN_MIN</t>
  </si>
  <si>
    <t>VIN_NOM</t>
  </si>
  <si>
    <t>VIN_MAX</t>
  </si>
  <si>
    <t>Switching Frequency</t>
  </si>
  <si>
    <t>Output Parameters</t>
  </si>
  <si>
    <t>V</t>
  </si>
  <si>
    <t>A</t>
  </si>
  <si>
    <t>Total Output Power</t>
  </si>
  <si>
    <t>kHz</t>
  </si>
  <si>
    <t>Efficiency</t>
  </si>
  <si>
    <t>VIN</t>
  </si>
  <si>
    <t>Flyback</t>
  </si>
  <si>
    <t>Maximum Duty Cylce</t>
  </si>
  <si>
    <t>Primary Turns Ratio</t>
  </si>
  <si>
    <t>N VOUT1</t>
  </si>
  <si>
    <t>N VOUT2</t>
  </si>
  <si>
    <t>N VOUT3</t>
  </si>
  <si>
    <t>N VOUT4</t>
  </si>
  <si>
    <t>N VOUT5</t>
  </si>
  <si>
    <t>N VOUT6</t>
  </si>
  <si>
    <t>Number</t>
  </si>
  <si>
    <t>Fly-Buck Turns Ratio</t>
  </si>
  <si>
    <t>Flyback Turns Ratio</t>
  </si>
  <si>
    <t>Selected Turns Ratio</t>
  </si>
  <si>
    <t>Pout</t>
  </si>
  <si>
    <t>Inductor Calculations</t>
  </si>
  <si>
    <t>Selected</t>
  </si>
  <si>
    <t>Calculator Constants</t>
  </si>
  <si>
    <t xml:space="preserve">DC Step </t>
  </si>
  <si>
    <t>Duty Cycle Caclualtion</t>
  </si>
  <si>
    <t>Index</t>
  </si>
  <si>
    <t>Vin</t>
  </si>
  <si>
    <t>Inductor Calcualtions</t>
  </si>
  <si>
    <t>DutyCycle</t>
  </si>
  <si>
    <t>Lcalc (VinMin)</t>
  </si>
  <si>
    <t>Lcalc (VinNom)</t>
  </si>
  <si>
    <t>Lcalc(VinMax)</t>
  </si>
  <si>
    <t>Inductor Selection</t>
  </si>
  <si>
    <t>Ripple Ratio</t>
  </si>
  <si>
    <t>L Calc (RR-10%)</t>
  </si>
  <si>
    <t>L Calc RR Select</t>
  </si>
  <si>
    <t>Lcalc (RR+10%)</t>
  </si>
  <si>
    <t>Date</t>
  </si>
  <si>
    <t>Owner</t>
  </si>
  <si>
    <t>Details</t>
  </si>
  <si>
    <t>GWR</t>
  </si>
  <si>
    <t>Created Document</t>
  </si>
  <si>
    <t>Fly-Buck</t>
  </si>
  <si>
    <t>Fly-Buck-Boost</t>
  </si>
  <si>
    <t>ILavg</t>
  </si>
  <si>
    <t>Duty-Cycle</t>
  </si>
  <si>
    <t>IL AVG</t>
  </si>
  <si>
    <t>RR</t>
  </si>
  <si>
    <t>RR*.9</t>
  </si>
  <si>
    <t>RR*1.1</t>
  </si>
  <si>
    <t>VinMin</t>
  </si>
  <si>
    <t>VinNom</t>
  </si>
  <si>
    <t>VinMax</t>
  </si>
  <si>
    <t>L_Calc</t>
  </si>
  <si>
    <t>Critical Inductance</t>
  </si>
  <si>
    <t>CCM Inductance</t>
  </si>
  <si>
    <t>Duty Cycle</t>
  </si>
  <si>
    <t>L calc</t>
  </si>
  <si>
    <t>Fly-Buck (VinNom)</t>
  </si>
  <si>
    <t>Fly-Buck-Boost (VinNom)</t>
  </si>
  <si>
    <t>uH</t>
  </si>
  <si>
    <t>Flyback (CCM)</t>
  </si>
  <si>
    <t>Flyback (VinNom) in CCM</t>
  </si>
  <si>
    <t>Flyback Critical Inductacne</t>
  </si>
  <si>
    <t>Flyback (DCM)</t>
  </si>
  <si>
    <t>Selected Inductance</t>
  </si>
  <si>
    <t>DCM Duty Cycle (Full Power)</t>
  </si>
  <si>
    <t>DCM Duty Cycle (Half Power)</t>
  </si>
  <si>
    <t>Duty cycle</t>
  </si>
  <si>
    <t>CCM</t>
  </si>
  <si>
    <t>IL Ripple</t>
  </si>
  <si>
    <t>IL Peak</t>
  </si>
  <si>
    <t>DCM</t>
  </si>
  <si>
    <t>ILpeak Full Power</t>
  </si>
  <si>
    <t>Peak Current</t>
  </si>
  <si>
    <t>IL RMS (Primary)</t>
  </si>
  <si>
    <t>ILripple</t>
  </si>
  <si>
    <t>ILpeak</t>
  </si>
  <si>
    <t>u0</t>
  </si>
  <si>
    <t>Le</t>
  </si>
  <si>
    <t>Ae</t>
  </si>
  <si>
    <t>Ve</t>
  </si>
  <si>
    <t>Bmax</t>
  </si>
  <si>
    <t>mm^3</t>
  </si>
  <si>
    <t>mm^2</t>
  </si>
  <si>
    <t>mm</t>
  </si>
  <si>
    <t>W</t>
  </si>
  <si>
    <t>ILpeak Fly-Buck</t>
  </si>
  <si>
    <t>ILripple Fly-Buck</t>
  </si>
  <si>
    <t>ILrms Fly-Buck</t>
  </si>
  <si>
    <t>Ilavg</t>
  </si>
  <si>
    <t>ILavg Ton</t>
  </si>
  <si>
    <t>ILpeak Fly-Buck-Boost</t>
  </si>
  <si>
    <t>ILripple Fly-Buck-Boost</t>
  </si>
  <si>
    <t>ILrms Fly-Buck-Boost</t>
  </si>
  <si>
    <t>ILpeak Flyback (CCM)</t>
  </si>
  <si>
    <t>ILripple Flyback (CCM)</t>
  </si>
  <si>
    <t>ILrms Flyback (CCM)</t>
  </si>
  <si>
    <t>ILpeak Flyback (DCM)</t>
  </si>
  <si>
    <t>ILripple Flyback (DCM)</t>
  </si>
  <si>
    <t>ILrms Flyback (DCM)</t>
  </si>
  <si>
    <t>Npri</t>
  </si>
  <si>
    <t>N Vout1</t>
  </si>
  <si>
    <t>N Vout2</t>
  </si>
  <si>
    <t>N Vout3</t>
  </si>
  <si>
    <t>N Vout4</t>
  </si>
  <si>
    <t>N Vout5</t>
  </si>
  <si>
    <t>N Vout6</t>
  </si>
  <si>
    <t>Bsat</t>
  </si>
  <si>
    <t>Core Type</t>
  </si>
  <si>
    <t>Part Name</t>
  </si>
  <si>
    <t>LM5017</t>
  </si>
  <si>
    <t>LM5018</t>
  </si>
  <si>
    <t>LM5019</t>
  </si>
  <si>
    <t>K</t>
  </si>
  <si>
    <t xml:space="preserve">ILimit Max </t>
  </si>
  <si>
    <t>VOUT1 RMS</t>
  </si>
  <si>
    <t>VOUT2 RMS</t>
  </si>
  <si>
    <t>VOUT3 RMS</t>
  </si>
  <si>
    <t>VOUT4 RMS</t>
  </si>
  <si>
    <t>VOUT6 RMS</t>
  </si>
  <si>
    <t>VOUT5 RMS</t>
  </si>
  <si>
    <t>IL RMS Full Power</t>
  </si>
  <si>
    <t>VOUT1 D_demag</t>
  </si>
  <si>
    <t>VOUT1 IL PEAK</t>
  </si>
  <si>
    <t>VOUT1 IL RMS</t>
  </si>
  <si>
    <t>VOUT2 D_demag</t>
  </si>
  <si>
    <t>VOUT2 IL PEAK</t>
  </si>
  <si>
    <t>VOUT2 IL RMS</t>
  </si>
  <si>
    <t>VOUT3 D_demag</t>
  </si>
  <si>
    <t>VOUT4 IL PEAK</t>
  </si>
  <si>
    <t>VOUT3 IL RMS</t>
  </si>
  <si>
    <t>VOUT3 IL PEAK</t>
  </si>
  <si>
    <t>VOUT4 D_demag</t>
  </si>
  <si>
    <t>VOUT4 IL RMS</t>
  </si>
  <si>
    <t>VOUT5 D_demag</t>
  </si>
  <si>
    <t>VOUT5 IL PEAK</t>
  </si>
  <si>
    <t>VOUT5 IL RMS</t>
  </si>
  <si>
    <t>VOUT6 D_demag</t>
  </si>
  <si>
    <t>VOUT6 IL PEAK</t>
  </si>
  <si>
    <t>VOUT6 IL RMS</t>
  </si>
  <si>
    <t>IL RMS Primary</t>
  </si>
  <si>
    <t>RMS TOTAL</t>
  </si>
  <si>
    <t>IRMS TOTAL</t>
  </si>
  <si>
    <t>Ku</t>
  </si>
  <si>
    <t>Ω-cm</t>
  </si>
  <si>
    <t>Copper Losses</t>
  </si>
  <si>
    <t>Kg min</t>
  </si>
  <si>
    <t>CCM Peak Current</t>
  </si>
  <si>
    <t>CCM Max Ripple Current</t>
  </si>
  <si>
    <t xml:space="preserve"> CCM Max RMS</t>
  </si>
  <si>
    <t>CCM Max Total RMS</t>
  </si>
  <si>
    <t>T</t>
  </si>
  <si>
    <t>cm^5</t>
  </si>
  <si>
    <t>Kg (cm^5)</t>
  </si>
  <si>
    <t>Cross sectional Area (Ac mm^2)</t>
  </si>
  <si>
    <t>Magnetic Path Length (lm mm)</t>
  </si>
  <si>
    <t>Bobbin Winding area (Wa mm^2)</t>
  </si>
  <si>
    <t>Mean Length Turn (MLT mm)</t>
  </si>
  <si>
    <t>Core Volume (mm^3)</t>
  </si>
  <si>
    <t>Suggested Core</t>
  </si>
  <si>
    <t>E5.3/2.7/2</t>
  </si>
  <si>
    <t>E16/8/5</t>
  </si>
  <si>
    <t>E13/7/4</t>
  </si>
  <si>
    <t>E20/10/5</t>
  </si>
  <si>
    <t>E25/10/6</t>
  </si>
  <si>
    <t>3F35</t>
  </si>
  <si>
    <t>3F36</t>
  </si>
  <si>
    <t>"Hide the calculation tables for the user</t>
  </si>
  <si>
    <t>Air Gap</t>
  </si>
  <si>
    <t>Npri Min</t>
  </si>
  <si>
    <t>Wa</t>
  </si>
  <si>
    <t>CCM Ipri RMS</t>
  </si>
  <si>
    <t>CCM IVOUT1 RMS</t>
  </si>
  <si>
    <t>CCM IVOUT2 RMS</t>
  </si>
  <si>
    <t>CCM IVOUT3 RMS</t>
  </si>
  <si>
    <t>CCM IVOUT4 RMS</t>
  </si>
  <si>
    <t>CCM IVOUT5 RMS</t>
  </si>
  <si>
    <t>CCM IVOUT6 RMS</t>
  </si>
  <si>
    <t>α1</t>
  </si>
  <si>
    <t>α2</t>
  </si>
  <si>
    <t>α3</t>
  </si>
  <si>
    <t>α4</t>
  </si>
  <si>
    <t>α5</t>
  </si>
  <si>
    <t>α6</t>
  </si>
  <si>
    <t>αPri</t>
  </si>
  <si>
    <t>Winding allocation</t>
  </si>
  <si>
    <t>Number of Turns</t>
  </si>
  <si>
    <t>AwPri</t>
  </si>
  <si>
    <t>Aw1</t>
  </si>
  <si>
    <t>Aw2</t>
  </si>
  <si>
    <t>Aw3</t>
  </si>
  <si>
    <t>Aw4</t>
  </si>
  <si>
    <t>Aw5</t>
  </si>
  <si>
    <t>Aw6</t>
  </si>
  <si>
    <t>cm^2</t>
  </si>
  <si>
    <t>AWG</t>
  </si>
  <si>
    <t>Bac (T)</t>
  </si>
  <si>
    <t>Material Type</t>
  </si>
  <si>
    <t>Max Freq (kHz)</t>
  </si>
  <si>
    <t>Min Freq (kHz)</t>
  </si>
  <si>
    <t>Cm</t>
  </si>
  <si>
    <t>x</t>
  </si>
  <si>
    <t>y</t>
  </si>
  <si>
    <t>Ct2</t>
  </si>
  <si>
    <t>Ct1</t>
  </si>
  <si>
    <t>Ct</t>
  </si>
  <si>
    <t>Value</t>
  </si>
  <si>
    <t>Frequency Selector</t>
  </si>
  <si>
    <t>Material</t>
  </si>
  <si>
    <t>Temp Coe at 100C</t>
  </si>
  <si>
    <t>Core_Loss 3F35 (mW)</t>
  </si>
  <si>
    <t>Core_Loss 3F36 (mW)</t>
  </si>
  <si>
    <t>Bare Wire Area</t>
  </si>
  <si>
    <r>
      <t>p (</t>
    </r>
    <r>
      <rPr>
        <sz val="11"/>
        <color theme="1"/>
        <rFont val="Calibri"/>
        <family val="2"/>
      </rPr>
      <t>Ω/cm)</t>
    </r>
  </si>
  <si>
    <t>E6.3/2.9/2</t>
  </si>
  <si>
    <t>Power/Volume loss (mW/(cm^3))</t>
  </si>
  <si>
    <t>3C92</t>
  </si>
  <si>
    <t>3C96</t>
  </si>
  <si>
    <t>These still need to be worked on</t>
  </si>
  <si>
    <t>Core_Loss 3C92 (W)</t>
  </si>
  <si>
    <t>Core_Loss 3C94 (W)</t>
  </si>
  <si>
    <t>VOUT1 Iac RMS</t>
  </si>
  <si>
    <t>VOUT6 Iac RMS</t>
  </si>
  <si>
    <t>VOUT5 Iac RMS</t>
  </si>
  <si>
    <t>VOUT4 Iac RMS</t>
  </si>
  <si>
    <t>VOUT3 Iac RMS</t>
  </si>
  <si>
    <t>VOU2 Iac RMS</t>
  </si>
  <si>
    <t>IIN</t>
  </si>
  <si>
    <t>MLT</t>
  </si>
  <si>
    <t>Resistivity of Copper @ 25C</t>
  </si>
  <si>
    <t>Resistivity of Copper @ 100C</t>
  </si>
  <si>
    <t>Rdc Pri</t>
  </si>
  <si>
    <t>Rdc VOUT1</t>
  </si>
  <si>
    <t>Rdc VOUT2</t>
  </si>
  <si>
    <t>Rdc VOUT3</t>
  </si>
  <si>
    <t>Rdc VOUT4</t>
  </si>
  <si>
    <t>Rdc VOUT5</t>
  </si>
  <si>
    <t>Rdc VOUT6</t>
  </si>
  <si>
    <t>All calculations done at 100C</t>
  </si>
  <si>
    <t>Diameter (cm)</t>
  </si>
  <si>
    <t>Radius (cm)</t>
  </si>
  <si>
    <t>Rac Pri</t>
  </si>
  <si>
    <t>Rac Vout1</t>
  </si>
  <si>
    <t>Rac Vout2</t>
  </si>
  <si>
    <t>Rac Vout3</t>
  </si>
  <si>
    <t>Rac Vout4</t>
  </si>
  <si>
    <t>Rac Vout5</t>
  </si>
  <si>
    <t>Rac Vout6</t>
  </si>
  <si>
    <t>Ω</t>
  </si>
  <si>
    <t>Skin Depth</t>
  </si>
  <si>
    <t>cm</t>
  </si>
  <si>
    <t>Pri DC Copper Loss</t>
  </si>
  <si>
    <t>Pri AC Copper Loss</t>
  </si>
  <si>
    <t>VOUT1 DC Copper Loss</t>
  </si>
  <si>
    <t>VOUT1 AC Copper Loss</t>
  </si>
  <si>
    <t>VOUT2 DC Copper Loss</t>
  </si>
  <si>
    <t>VOUT2 AC Copper Loss</t>
  </si>
  <si>
    <t>VOUT3 DC Copper Loss</t>
  </si>
  <si>
    <t>VOUT3 AC Copper Loss</t>
  </si>
  <si>
    <t>VOUT4 DC Copper Loss</t>
  </si>
  <si>
    <t>VOUT4 AC Copper Loss</t>
  </si>
  <si>
    <t>VOUT5 DC Copper Loss</t>
  </si>
  <si>
    <t>VOUT5 AC Copper Loss</t>
  </si>
  <si>
    <t>VOUT6 DC Copper Loss</t>
  </si>
  <si>
    <t>VOUT6 AC Copper Loss</t>
  </si>
  <si>
    <t>Transformer Index</t>
  </si>
  <si>
    <t>Primary Iac</t>
  </si>
  <si>
    <t>3C94</t>
  </si>
  <si>
    <t>Suggested</t>
  </si>
  <si>
    <t>VOUT1 IL AC</t>
  </si>
  <si>
    <t>VOUT6 IL AC</t>
  </si>
  <si>
    <t>VOUT2 IL AC</t>
  </si>
  <si>
    <t>VOUT4 IL AC</t>
  </si>
  <si>
    <t>VOUT5 IL AC</t>
  </si>
  <si>
    <t>DCM Max Total RMS</t>
  </si>
  <si>
    <t>Flyback CCM</t>
  </si>
  <si>
    <t>Flyback DCM</t>
  </si>
  <si>
    <t>Wire Diameter</t>
  </si>
  <si>
    <t>Topology</t>
  </si>
  <si>
    <t>LM5020</t>
  </si>
  <si>
    <t>Pmax</t>
  </si>
  <si>
    <t>AC Flux Density (T)</t>
  </si>
  <si>
    <t>mV</t>
  </si>
  <si>
    <t>OUTPUT CAPARICTOR</t>
  </si>
  <si>
    <t>Turns Ratios</t>
  </si>
  <si>
    <t>Switching Parameters</t>
  </si>
  <si>
    <t>Dmin</t>
  </si>
  <si>
    <t>Dmax</t>
  </si>
  <si>
    <t>Ton_Max</t>
  </si>
  <si>
    <t>Ton_Min</t>
  </si>
  <si>
    <t>Output Capacitor</t>
  </si>
  <si>
    <t>Primary</t>
  </si>
  <si>
    <t>Switching Pararmeters</t>
  </si>
  <si>
    <t>DCM Ipri RMS</t>
  </si>
  <si>
    <t>DCM IVOUT1 RMS</t>
  </si>
  <si>
    <t>DCM IVOUT2 RMS</t>
  </si>
  <si>
    <t>DCM IVOUT3 RMS</t>
  </si>
  <si>
    <t>DCM IVOUT4 RMS</t>
  </si>
  <si>
    <t>DCM IVOUT5 RMS</t>
  </si>
  <si>
    <t>DCM IVOUT6 RMS</t>
  </si>
  <si>
    <t>Calculated VOUT1</t>
  </si>
  <si>
    <t>Selected VOUT1</t>
  </si>
  <si>
    <t>Calculated VOUT2</t>
  </si>
  <si>
    <t>Selected VOUT2</t>
  </si>
  <si>
    <t>Calculated VOUT3</t>
  </si>
  <si>
    <t>Selected VOUT3</t>
  </si>
  <si>
    <t>Calculated VOUT4</t>
  </si>
  <si>
    <t>Selected VOUT4</t>
  </si>
  <si>
    <t>Calculated VOUT5</t>
  </si>
  <si>
    <t>Selected VOUT5</t>
  </si>
  <si>
    <t>Calculated VOUT6</t>
  </si>
  <si>
    <t>Selected VOUT6</t>
  </si>
  <si>
    <t>LM DCM Selected</t>
  </si>
  <si>
    <t>H</t>
  </si>
  <si>
    <t>s</t>
  </si>
  <si>
    <t>Transformer RMS Currents</t>
  </si>
  <si>
    <t>Transfromer RMS</t>
  </si>
  <si>
    <t>Vout Pri</t>
  </si>
  <si>
    <t>Vout Primary</t>
  </si>
  <si>
    <t>LM_FB</t>
  </si>
  <si>
    <t>IRMS Total</t>
  </si>
  <si>
    <t>I_VOUT2 AVG</t>
  </si>
  <si>
    <t>I_VOUT2 RIPPLE</t>
  </si>
  <si>
    <t>I_VOUT1 AVG</t>
  </si>
  <si>
    <t>I_VOUT1 RIPPLE</t>
  </si>
  <si>
    <t>I_VOUT3 AVG</t>
  </si>
  <si>
    <t>I_VOUT3 RIPPLE</t>
  </si>
  <si>
    <t>I_VOUT4 AVG</t>
  </si>
  <si>
    <t>I_VOUT4 RIPPLE</t>
  </si>
  <si>
    <t>I_VOUT5 RIPPLE</t>
  </si>
  <si>
    <t>I_VOUT5 AVG</t>
  </si>
  <si>
    <t>I_VOUT6 AVG</t>
  </si>
  <si>
    <t>I_VOUT6 RIPPLE</t>
  </si>
  <si>
    <t>AG</t>
  </si>
  <si>
    <t>VOUT1 AC</t>
  </si>
  <si>
    <t>VOUT6 AC</t>
  </si>
  <si>
    <t>VOUT2 AC</t>
  </si>
  <si>
    <t>VOUT3 AC</t>
  </si>
  <si>
    <t>VOUT4 AC</t>
  </si>
  <si>
    <t>VOUT5 AC</t>
  </si>
  <si>
    <t>Max Ripple Current</t>
  </si>
  <si>
    <t>Max Peak Current</t>
  </si>
  <si>
    <t>Max RMS Current</t>
  </si>
  <si>
    <t>Ipri RMS</t>
  </si>
  <si>
    <t>Total RMS</t>
  </si>
  <si>
    <t>F</t>
  </si>
  <si>
    <t>Iin</t>
  </si>
  <si>
    <t>Y</t>
  </si>
  <si>
    <t>AC</t>
  </si>
  <si>
    <t>AK</t>
  </si>
  <si>
    <t>AO</t>
  </si>
  <si>
    <t>AS</t>
  </si>
  <si>
    <t>Transformer RMS</t>
  </si>
  <si>
    <t>Need to Change these to the new format</t>
  </si>
  <si>
    <t>Equation have tiny numbers</t>
  </si>
  <si>
    <t>Need to update the secondary outputs for this</t>
  </si>
  <si>
    <t>DC Winding Losses VOUT1</t>
  </si>
  <si>
    <t>AC Winding Losses VOUT1</t>
  </si>
  <si>
    <t>DC Winding Losses VOUT2</t>
  </si>
  <si>
    <t>AC Winding Losses VOUT2</t>
  </si>
  <si>
    <t>DC Winding Losses VOUT3</t>
  </si>
  <si>
    <t>AC Winding Losses VOUT3</t>
  </si>
  <si>
    <t>DC Winding Losses VOUT4</t>
  </si>
  <si>
    <t>AC Winding Losses VOUT4</t>
  </si>
  <si>
    <t>DC Winding Losses VOUT5</t>
  </si>
  <si>
    <t>AC Winding Losses VOUT5</t>
  </si>
  <si>
    <t>DC Winding Losses VOUT6</t>
  </si>
  <si>
    <t>AC Winding Losses VOUT6</t>
  </si>
  <si>
    <t>DC Winding Losses Primary (W)</t>
  </si>
  <si>
    <t>AC Winding Losses Primary (W)</t>
  </si>
  <si>
    <t>DC Winding Losses VOUT1 (W)</t>
  </si>
  <si>
    <t>AC Winding Losses VOUT1 (W)</t>
  </si>
  <si>
    <t>IL Primary AC Current</t>
  </si>
  <si>
    <t>X4</t>
  </si>
  <si>
    <t>DC Winding Losses VOUT2 (W)</t>
  </si>
  <si>
    <t>AC Winding Losses VOUT2 (W)</t>
  </si>
  <si>
    <t>DC Winding Losses VOUT3 (W)</t>
  </si>
  <si>
    <t>AC Winding Losses VOUT3 (W)</t>
  </si>
  <si>
    <t>DC Winding Losses VOUT4 (W)</t>
  </si>
  <si>
    <t>AC Winding Losses VOUT4 (W)</t>
  </si>
  <si>
    <t>DC Winding Losses VOUT5 (W)</t>
  </si>
  <si>
    <t>AC Winding Losses VOUT5 (W)</t>
  </si>
  <si>
    <t>DC Winding Losses VOUT6 (W)</t>
  </si>
  <si>
    <t>AC Winding Losses VOUT6 (W)</t>
  </si>
  <si>
    <t>DC Winding losses Primary</t>
  </si>
  <si>
    <t>AC Winding losses Primary</t>
  </si>
  <si>
    <t>I Primary AC</t>
  </si>
  <si>
    <t>uF</t>
  </si>
  <si>
    <t xml:space="preserve">Output Capacitor </t>
  </si>
  <si>
    <t>Calculated COUT1</t>
  </si>
  <si>
    <t>Selected COUT1</t>
  </si>
  <si>
    <t>Calculated COUT2</t>
  </si>
  <si>
    <t>Selected COUT2</t>
  </si>
  <si>
    <t>Calculated COUT3</t>
  </si>
  <si>
    <t>Selected COUT3</t>
  </si>
  <si>
    <t>Calculated COUT4</t>
  </si>
  <si>
    <t>Selected COUT4</t>
  </si>
  <si>
    <t>Calculated COUT5</t>
  </si>
  <si>
    <t>Selected COUT5</t>
  </si>
  <si>
    <t>Calculated COUT6</t>
  </si>
  <si>
    <t>Selected COUT6</t>
  </si>
  <si>
    <t>N AUX</t>
  </si>
  <si>
    <t>Calculated VoutAUX</t>
  </si>
  <si>
    <t>Selected VoutAUX</t>
  </si>
  <si>
    <t>Calculated COUTAUX</t>
  </si>
  <si>
    <t>Selected COUTAUX</t>
  </si>
  <si>
    <t>VAUX RMS</t>
  </si>
  <si>
    <t>VAUX Iac RMS</t>
  </si>
  <si>
    <t>VAUX D_demag</t>
  </si>
  <si>
    <t>VAUX IL PEAK</t>
  </si>
  <si>
    <t>VAUX IL RMS</t>
  </si>
  <si>
    <t>VAUX IL AC</t>
  </si>
  <si>
    <t>DCM IVAUX RMS</t>
  </si>
  <si>
    <t>CCM IAUX RMS</t>
  </si>
  <si>
    <t>αAUX</t>
  </si>
  <si>
    <t>AwAUX</t>
  </si>
  <si>
    <t>VAUX DC Copper Loss</t>
  </si>
  <si>
    <t>VAUX AC Copper Loss</t>
  </si>
  <si>
    <t>DC Winding Losses VAUX (W)</t>
  </si>
  <si>
    <t>AC Winding Losses VAUX (W)</t>
  </si>
  <si>
    <t>COUTPri Selected</t>
  </si>
  <si>
    <t>COUTPri Calculated</t>
  </si>
  <si>
    <t>Calculated COUTPri</t>
  </si>
  <si>
    <t>Selected COUTPri</t>
  </si>
  <si>
    <t>Selected Capacitor</t>
  </si>
  <si>
    <t>mΩ</t>
  </si>
  <si>
    <t>Voltage Stresses</t>
  </si>
  <si>
    <t>LM5021</t>
  </si>
  <si>
    <t>LM5022</t>
  </si>
  <si>
    <t>LM5001</t>
  </si>
  <si>
    <t>Rated</t>
  </si>
  <si>
    <t>FBB Max</t>
  </si>
  <si>
    <t>Nominal VCC (V)</t>
  </si>
  <si>
    <t>RDSon (HS) Ohm</t>
  </si>
  <si>
    <t>RDSon (LS) Ohm</t>
  </si>
  <si>
    <t>Diode Stress VOUT1</t>
  </si>
  <si>
    <t>Diode Stress VOUT2</t>
  </si>
  <si>
    <t>Diode Stress VOUT3</t>
  </si>
  <si>
    <t>Diode Stress VOUT4</t>
  </si>
  <si>
    <t>Diode Stress VOUT5</t>
  </si>
  <si>
    <t>Diode Stress VOUT6</t>
  </si>
  <si>
    <t>Diode Stress VAUX</t>
  </si>
  <si>
    <t>MOSFET</t>
  </si>
  <si>
    <t>MOSFET W/o Leakage</t>
  </si>
  <si>
    <t>MOSFET W/ Leakage</t>
  </si>
  <si>
    <t>Voltage Stress</t>
  </si>
  <si>
    <t>MOSFET w/o Leakage</t>
  </si>
  <si>
    <t>MOSFET w/ Leakage</t>
  </si>
  <si>
    <t>nF</t>
  </si>
  <si>
    <t>MOSFET w/ &amp; w/o Leakage</t>
  </si>
  <si>
    <t>DCR</t>
  </si>
  <si>
    <r>
      <t>m</t>
    </r>
    <r>
      <rPr>
        <sz val="11"/>
        <color theme="1"/>
        <rFont val="Calibri"/>
        <family val="2"/>
      </rPr>
      <t>Ω</t>
    </r>
  </si>
  <si>
    <t>Show Core Losses for each Topology</t>
  </si>
  <si>
    <t>Show Winding Losses for each Topology</t>
  </si>
  <si>
    <t>Show Total Losses for each Topology</t>
  </si>
  <si>
    <t>Show Efficiency Curve with Transformer Losses for each Topology</t>
  </si>
  <si>
    <t>Snubber Design</t>
  </si>
  <si>
    <t>Winding Losses</t>
  </si>
  <si>
    <t>3F35 Total Losses</t>
  </si>
  <si>
    <t>3F36 Total Losses</t>
  </si>
  <si>
    <t>3C92 Total Losses</t>
  </si>
  <si>
    <t>3C96 Total Losses</t>
  </si>
  <si>
    <t>PART Selection Parameters</t>
  </si>
  <si>
    <t>Part Selection Parameters</t>
  </si>
  <si>
    <t>Front Page</t>
  </si>
  <si>
    <t>Clamp Voltage Losses</t>
  </si>
  <si>
    <t>3F35 Losses</t>
  </si>
  <si>
    <t>3C96 Losses</t>
  </si>
  <si>
    <t>3C92 Losses</t>
  </si>
  <si>
    <t>3F36 Losses</t>
  </si>
  <si>
    <t>Clamp Losses (W)</t>
  </si>
  <si>
    <t>Minimum Diode rating</t>
  </si>
  <si>
    <t>Clamp Design</t>
  </si>
  <si>
    <t>Min Diode Rating</t>
  </si>
  <si>
    <t>Calculated C</t>
  </si>
  <si>
    <t>Selected R</t>
  </si>
  <si>
    <t>Calculated R</t>
  </si>
  <si>
    <r>
      <t>k</t>
    </r>
    <r>
      <rPr>
        <sz val="11"/>
        <color theme="1"/>
        <rFont val="Calibri"/>
        <family val="2"/>
      </rPr>
      <t>Ω</t>
    </r>
  </si>
  <si>
    <t>Desired Ripple</t>
  </si>
  <si>
    <t>Actual Ripple</t>
  </si>
  <si>
    <t>Selected C</t>
  </si>
  <si>
    <t>Fly-Buck Parts</t>
  </si>
  <si>
    <t>Fsw_Min (kHz)</t>
  </si>
  <si>
    <t>Fsw_Max (kHz)</t>
  </si>
  <si>
    <t>V Feedback (V)</t>
  </si>
  <si>
    <t>VIN_MAX (V)</t>
  </si>
  <si>
    <t>Vin_Min (V)</t>
  </si>
  <si>
    <t>Vin_Max (V)</t>
  </si>
  <si>
    <t>ILimit Min  (A)</t>
  </si>
  <si>
    <t>I Lim Threshold (V)</t>
  </si>
  <si>
    <t>Min Off-Time (S)</t>
  </si>
  <si>
    <t>Min On Time (S)</t>
  </si>
  <si>
    <t>Timing Resistor</t>
  </si>
  <si>
    <t>I sense Resistor</t>
  </si>
  <si>
    <t>Timing Parameters</t>
  </si>
  <si>
    <t>FET Parameters</t>
  </si>
  <si>
    <t>Current Limiting</t>
  </si>
  <si>
    <t>Compensation</t>
  </si>
  <si>
    <t>Type</t>
  </si>
  <si>
    <t>VCC Capacitor</t>
  </si>
  <si>
    <t>External FET</t>
  </si>
  <si>
    <t>COMP Resistor</t>
  </si>
  <si>
    <t>COMP Cap 1</t>
  </si>
  <si>
    <t>COMP Cap 2</t>
  </si>
  <si>
    <t>Opto</t>
  </si>
  <si>
    <t xml:space="preserve">UVLO </t>
  </si>
  <si>
    <t>Resistor</t>
  </si>
  <si>
    <t>Resistors</t>
  </si>
  <si>
    <t>Feeback Resistors</t>
  </si>
  <si>
    <t>Soft Start</t>
  </si>
  <si>
    <t>SS Cap</t>
  </si>
  <si>
    <t>-</t>
  </si>
  <si>
    <t>Bootstrap</t>
  </si>
  <si>
    <t>Boot Cap</t>
  </si>
  <si>
    <t>Input Capacitor</t>
  </si>
  <si>
    <t>Capaitors</t>
  </si>
  <si>
    <t>Primary Output Cap</t>
  </si>
  <si>
    <t>LM5160</t>
  </si>
  <si>
    <t>Fly-Buck-Boost Parts</t>
  </si>
  <si>
    <t>Flyback Parts</t>
  </si>
  <si>
    <t>Select the Specific Part</t>
  </si>
  <si>
    <t>Selected Part</t>
  </si>
  <si>
    <t>Cg Highside (F)</t>
  </si>
  <si>
    <t>SS Current (A)</t>
  </si>
  <si>
    <t>Snubber</t>
  </si>
  <si>
    <t>Diode</t>
  </si>
  <si>
    <t>Capacitor</t>
  </si>
  <si>
    <t>Opto Coupler</t>
  </si>
  <si>
    <t>Pull Up Resistor</t>
  </si>
  <si>
    <t>Opto R LED</t>
  </si>
  <si>
    <t>Opto R BIAS</t>
  </si>
  <si>
    <t>Opto  C Opto</t>
  </si>
  <si>
    <t>Opto C Comp</t>
  </si>
  <si>
    <t>Opto Volt Ref</t>
  </si>
  <si>
    <t>Min Duty Cycle</t>
  </si>
  <si>
    <t>Max Duty Cycle</t>
  </si>
  <si>
    <r>
      <t>Pull Up Resistor Value (</t>
    </r>
    <r>
      <rPr>
        <sz val="11"/>
        <color theme="1"/>
        <rFont val="Calibri"/>
        <family val="2"/>
      </rPr>
      <t>Ω)</t>
    </r>
  </si>
  <si>
    <t>Slope Comp (V)</t>
  </si>
  <si>
    <t>SW MAX</t>
  </si>
  <si>
    <t>Sense Resistor Value (Ohm)</t>
  </si>
  <si>
    <t>Secondary Diode</t>
  </si>
  <si>
    <t>Secondary Cap</t>
  </si>
  <si>
    <t>Transformer</t>
  </si>
  <si>
    <t>Index (Part Number)</t>
  </si>
  <si>
    <t>Ron K</t>
  </si>
  <si>
    <t>Feedback Voltage</t>
  </si>
  <si>
    <t>VCC Voltage</t>
  </si>
  <si>
    <t>HS Rdson</t>
  </si>
  <si>
    <t>LS Rdson</t>
  </si>
  <si>
    <t>Switch Rise+Fall Time</t>
  </si>
  <si>
    <t>S</t>
  </si>
  <si>
    <t>Part List Selections</t>
  </si>
  <si>
    <t>HS FET Conduction Losses (W)</t>
  </si>
  <si>
    <t>HS FET Switching Losses</t>
  </si>
  <si>
    <t>Gate Driver Losses</t>
  </si>
  <si>
    <t>Diode Losses</t>
  </si>
  <si>
    <t>Diode Losses VOUT1</t>
  </si>
  <si>
    <t>Diode Losses VOUT2</t>
  </si>
  <si>
    <t>Diode Losses VOUT3</t>
  </si>
  <si>
    <t>Diode Losses VOUT4</t>
  </si>
  <si>
    <t>Diode Losses VOUT5</t>
  </si>
  <si>
    <t>Diode Losses VOUT6</t>
  </si>
  <si>
    <t xml:space="preserve">Diode Losses (W) VOUT1 </t>
  </si>
  <si>
    <t>Diode Losses (W) VOUT2</t>
  </si>
  <si>
    <t>Diode Losses (W) VOUT3</t>
  </si>
  <si>
    <t>Diode Losses (W) VOUT4</t>
  </si>
  <si>
    <t>Diode Losses (W) VOUT5</t>
  </si>
  <si>
    <t>Diode Losses (W) VOUT6</t>
  </si>
  <si>
    <t>Column Number</t>
  </si>
  <si>
    <t>Current Limit</t>
  </si>
  <si>
    <t>DCR Primary Losses</t>
  </si>
  <si>
    <t>DCR Losses VOUT1</t>
  </si>
  <si>
    <t>DCR Losses VOUT2</t>
  </si>
  <si>
    <t>DCR Losses VOUT3</t>
  </si>
  <si>
    <t>DCR Losses VOUT4</t>
  </si>
  <si>
    <t>DCR Losses VOUT5</t>
  </si>
  <si>
    <t>DCR Losses VOUT6</t>
  </si>
  <si>
    <t>Transformer Primary DCR</t>
  </si>
  <si>
    <t>Transformer  DCR VOUT1</t>
  </si>
  <si>
    <t>Transformer  DCR VOUT2</t>
  </si>
  <si>
    <t>Transformer  DCR VOUT3</t>
  </si>
  <si>
    <t>Transformer  DCR VOUT4</t>
  </si>
  <si>
    <t>Transformer  DCR VOUT5</t>
  </si>
  <si>
    <t>Transformer  DCR VOUT6</t>
  </si>
  <si>
    <t>Gate Driver Losses (W)</t>
  </si>
  <si>
    <t>Body Diode Characteristics</t>
  </si>
  <si>
    <t>LS Gate Charge</t>
  </si>
  <si>
    <t>HS Gate Charge</t>
  </si>
  <si>
    <t>Qg Lowside (C)</t>
  </si>
  <si>
    <t>Q</t>
  </si>
  <si>
    <t>Designed Transformer Losses</t>
  </si>
  <si>
    <t>Selected Transformer Losses</t>
  </si>
  <si>
    <t>Total Selected Transformer Losses (W)</t>
  </si>
  <si>
    <t>FET / Gate Driver Losses</t>
  </si>
  <si>
    <t>Output Diode Losses</t>
  </si>
  <si>
    <t>Total Diode Loss (W)</t>
  </si>
  <si>
    <t>Efficiency (Selected Transformer)</t>
  </si>
  <si>
    <t>Input Power</t>
  </si>
  <si>
    <t>Input Power (W)</t>
  </si>
  <si>
    <t>Total Power Loss (W)</t>
  </si>
  <si>
    <t>3F35 Total Losses (W)</t>
  </si>
  <si>
    <t>3F36 Total Losses (W)</t>
  </si>
  <si>
    <t>3C92 Total Losses (W)</t>
  </si>
  <si>
    <t>3C96 Total Losses (W)</t>
  </si>
  <si>
    <t>DCR Primary Losses (W)</t>
  </si>
  <si>
    <t>DCR Losses VOUT1 (W)</t>
  </si>
  <si>
    <t>DCR Losses VOUT2 (W)</t>
  </si>
  <si>
    <t>DCR Losses VOUT3 (W)</t>
  </si>
  <si>
    <t>DCR Losses VOUT4 (W)</t>
  </si>
  <si>
    <t>DCR Losses VOUT5 (W)</t>
  </si>
  <si>
    <t>DCR Losses VOUT6 (W)</t>
  </si>
  <si>
    <t>Total Transformer Losses (W)</t>
  </si>
  <si>
    <t>Total Gate Driver Losses</t>
  </si>
  <si>
    <t>Total Losses</t>
  </si>
  <si>
    <t>Efficieny</t>
  </si>
  <si>
    <t>Total Output Diode Losses</t>
  </si>
  <si>
    <t>DCR Losses VOUTAUX</t>
  </si>
  <si>
    <t>Total Transformer Losses</t>
  </si>
  <si>
    <t>Part Selection</t>
  </si>
  <si>
    <t>Flyback CCM Part Selection</t>
  </si>
  <si>
    <t>Flyback DCM Part Selection</t>
  </si>
  <si>
    <t>Transformer  DCR VOUTAUX</t>
  </si>
  <si>
    <t>Selected Transformer Calculation</t>
  </si>
  <si>
    <t>LS Condution Losses</t>
  </si>
  <si>
    <t>LS Switching losses</t>
  </si>
  <si>
    <t>Total FET Losses</t>
  </si>
  <si>
    <t>Diode Losses VOUTAUX</t>
  </si>
  <si>
    <t>Total Diode Losses</t>
  </si>
  <si>
    <t>MOSFET Selection</t>
  </si>
  <si>
    <t>Vds Rating</t>
  </si>
  <si>
    <t>RdsOn</t>
  </si>
  <si>
    <t>Gate Charge</t>
  </si>
  <si>
    <t>nC</t>
  </si>
  <si>
    <t>Diode Stress</t>
  </si>
  <si>
    <t>DCR Losses Primary</t>
  </si>
  <si>
    <t>Total DCR Losses</t>
  </si>
  <si>
    <t>Total GET Losses</t>
  </si>
  <si>
    <t>Diode Drop</t>
  </si>
  <si>
    <t>Loop Compenstation</t>
  </si>
  <si>
    <t>Step</t>
  </si>
  <si>
    <t>Frequency (Hz)</t>
  </si>
  <si>
    <t>Radians</t>
  </si>
  <si>
    <t>Compensation Values</t>
  </si>
  <si>
    <t>Modulator Gain (VIN MIN)</t>
  </si>
  <si>
    <t>Modulator Phase (VIN MIN)</t>
  </si>
  <si>
    <t>Modulator Gain (VIN NOM)</t>
  </si>
  <si>
    <t>Modulator Phase (VIN NOM)</t>
  </si>
  <si>
    <t>Modulator Gain (VIN MAX)</t>
  </si>
  <si>
    <t>Modulator Phase (VIN MAX)</t>
  </si>
  <si>
    <t>Km VIN Min</t>
  </si>
  <si>
    <t>Km VIN Nom</t>
  </si>
  <si>
    <t>Km VIN Max</t>
  </si>
  <si>
    <t>Slope Compensation</t>
  </si>
  <si>
    <t>Wp VIN MIN</t>
  </si>
  <si>
    <t>Wp VIN NOM</t>
  </si>
  <si>
    <t>Wp VIN MAX</t>
  </si>
  <si>
    <t>Wl VIN MIN</t>
  </si>
  <si>
    <t>Wl VIN NOM</t>
  </si>
  <si>
    <t>Wl VIN MAX</t>
  </si>
  <si>
    <t>Current Sense Gain</t>
  </si>
  <si>
    <t>RI (Equvilent Rense Resistor)</t>
  </si>
  <si>
    <t>Rs (Sense Resistor)</t>
  </si>
  <si>
    <t>Eq Sense Resistor (Ri)</t>
  </si>
  <si>
    <t>Wz</t>
  </si>
  <si>
    <t>Wr VIN MIN</t>
  </si>
  <si>
    <t>Wr VIN NOM</t>
  </si>
  <si>
    <t>Wr VIN MAX</t>
  </si>
  <si>
    <t>ADC VIN NOM</t>
  </si>
  <si>
    <t>ADC VIN MAX</t>
  </si>
  <si>
    <t>ADC VIN MIN</t>
  </si>
  <si>
    <t>DC Divider Factor</t>
  </si>
  <si>
    <t>VIN MIN</t>
  </si>
  <si>
    <t>VIN MAX</t>
  </si>
  <si>
    <t>Plant Functions</t>
  </si>
  <si>
    <t>Non-Opto Coupler</t>
  </si>
  <si>
    <t>COMP GIAN</t>
  </si>
  <si>
    <t>COMP PHASE</t>
  </si>
  <si>
    <t>COMP GAIN</t>
  </si>
  <si>
    <t>OPT Coupler Compensation</t>
  </si>
  <si>
    <t>TOP</t>
  </si>
  <si>
    <t>Calculate Bottol</t>
  </si>
  <si>
    <t>Selected Top</t>
  </si>
  <si>
    <t xml:space="preserve">Suggested Cut off Frequency </t>
  </si>
  <si>
    <t>Cutoff frequency</t>
  </si>
  <si>
    <t>Suggested Pole</t>
  </si>
  <si>
    <t>Selected Pole Location</t>
  </si>
  <si>
    <t>Pole Selected</t>
  </si>
  <si>
    <t>Zero Selected</t>
  </si>
  <si>
    <t>Hz</t>
  </si>
  <si>
    <t>Gain @ Fc</t>
  </si>
  <si>
    <t>Suggested Zero Location</t>
  </si>
  <si>
    <t>Selected Zero Location</t>
  </si>
  <si>
    <t>OPTO Current Transfer Ratio</t>
  </si>
  <si>
    <t>OPTO Diode Voltage Drop</t>
  </si>
  <si>
    <t>OPTO BJT Capacitance</t>
  </si>
  <si>
    <t>OPTO Diode Resistance</t>
  </si>
  <si>
    <t>Calcaulated</t>
  </si>
  <si>
    <t>Inductor Current</t>
  </si>
  <si>
    <t>ESR VOUT1</t>
  </si>
  <si>
    <t>ESR VOUT2</t>
  </si>
  <si>
    <t>ESR VOUT3</t>
  </si>
  <si>
    <t>ESR VOUT4</t>
  </si>
  <si>
    <t>ESR VOUT5</t>
  </si>
  <si>
    <t>ESR VOUT6</t>
  </si>
  <si>
    <t>ESR VOUT AUX</t>
  </si>
  <si>
    <t>Calculated VOUT AUX</t>
  </si>
  <si>
    <t>Selected VOUT AUX</t>
  </si>
  <si>
    <t>Fsw</t>
  </si>
  <si>
    <t>I Limit</t>
  </si>
  <si>
    <t>Output Diode Selection</t>
  </si>
  <si>
    <t>Diode Voltage Stress VOUT1</t>
  </si>
  <si>
    <t>Diode Voltage Stress VOUT2</t>
  </si>
  <si>
    <t>Diode Voltage Stress VOUT3</t>
  </si>
  <si>
    <t>Diode Voltage Stress VOUT4</t>
  </si>
  <si>
    <t>Diode Voltage Stress VOUT5</t>
  </si>
  <si>
    <t>Diode Voltage Stress VOUT6</t>
  </si>
  <si>
    <t>Diode Voltage Stress VOUTAUX</t>
  </si>
  <si>
    <t>Leakage Inductance</t>
  </si>
  <si>
    <t>COSS</t>
  </si>
  <si>
    <t>Switch node Clamp voltage</t>
  </si>
  <si>
    <t>Ripple Voltage</t>
  </si>
  <si>
    <t>Clamp Resistor Calculation</t>
  </si>
  <si>
    <t>Selected Resistor</t>
  </si>
  <si>
    <t>Clamp Capacitor Calculation</t>
  </si>
  <si>
    <t>Selected Sense Resistor</t>
  </si>
  <si>
    <t>I Limit Voltage</t>
  </si>
  <si>
    <t>Current Limit Voltage</t>
  </si>
  <si>
    <t>Maximum Sense Resistor</t>
  </si>
  <si>
    <t>Actual Peak Current Limit</t>
  </si>
  <si>
    <t>Modulator Model</t>
  </si>
  <si>
    <t>Resistor Pull Up Voltage</t>
  </si>
  <si>
    <t>Opto Pull UP Voltage</t>
  </si>
  <si>
    <t>Opto Pull Up Voltage</t>
  </si>
  <si>
    <t>Opto Pull Up Resistor</t>
  </si>
  <si>
    <t>Resistor Pull Up Resistor</t>
  </si>
  <si>
    <t>Voltage Reference</t>
  </si>
  <si>
    <t>Internal Feedback Voltage</t>
  </si>
  <si>
    <t>Opto Voltage Reference</t>
  </si>
  <si>
    <t>LED Resistor Calculated</t>
  </si>
  <si>
    <t>LED Resistor Selected</t>
  </si>
  <si>
    <t>Maximum Peak slope for KM</t>
  </si>
  <si>
    <t>kΩ</t>
  </si>
  <si>
    <t>Mid Band Gain</t>
  </si>
  <si>
    <t>dB</t>
  </si>
  <si>
    <t>Comp Capacitor 1 Calc</t>
  </si>
  <si>
    <t>Comp Capacitor 1 Selected</t>
  </si>
  <si>
    <t>Comp Capacitor 2 Calc</t>
  </si>
  <si>
    <t>Comp Capacitor 2 Selected</t>
  </si>
  <si>
    <t>Pole Location</t>
  </si>
  <si>
    <t>Zero Location</t>
  </si>
  <si>
    <t>Opto Coupler Pole Zero</t>
  </si>
  <si>
    <t>Non -Opo</t>
  </si>
  <si>
    <t>Non-Isolated Compensation</t>
  </si>
  <si>
    <t>Cpole Calculated</t>
  </si>
  <si>
    <t>Cpole Selected</t>
  </si>
  <si>
    <t>Czero Calculated</t>
  </si>
  <si>
    <t>Czero Selected</t>
  </si>
  <si>
    <t>Rcomp Calaculated</t>
  </si>
  <si>
    <t>Rcomp Selected</t>
  </si>
  <si>
    <t xml:space="preserve">DC gain </t>
  </si>
  <si>
    <t>DC Gain Set</t>
  </si>
  <si>
    <t>CLOSE GAIN (VIN MIN)</t>
  </si>
  <si>
    <t>CLOSE PHASE (VIN MIN)</t>
  </si>
  <si>
    <t>CLOSE GAIN (VIN NOM)</t>
  </si>
  <si>
    <t>CLOSE PHASE (VIN NOM)</t>
  </si>
  <si>
    <t>CLOSE GAIN (VIN MAX)</t>
  </si>
  <si>
    <t>CLOSE PHASE (VIN MAX)</t>
  </si>
  <si>
    <t>NON OPTO COUPLER</t>
  </si>
  <si>
    <t>Opto Pull Up Resistance</t>
  </si>
  <si>
    <t>Sense Resistor</t>
  </si>
  <si>
    <t>Equivalent Sense Resistor</t>
  </si>
  <si>
    <t>ROUT</t>
  </si>
  <si>
    <t>K DC</t>
  </si>
  <si>
    <t>DC GAIN</t>
  </si>
  <si>
    <t>Plant Modleling</t>
  </si>
  <si>
    <t>Wp</t>
  </si>
  <si>
    <t>rad</t>
  </si>
  <si>
    <t>Opto Poles and Zeros</t>
  </si>
  <si>
    <t>Pole</t>
  </si>
  <si>
    <t>Zero</t>
  </si>
  <si>
    <t>Mid-Band Gain</t>
  </si>
  <si>
    <t>Non Opto</t>
  </si>
  <si>
    <t>Gain (dB)</t>
  </si>
  <si>
    <t>Phase (Degree)</t>
  </si>
  <si>
    <t>Non Opto Closed</t>
  </si>
  <si>
    <t>Opto Coupler Closed</t>
  </si>
  <si>
    <t>Non-Opto Compensation</t>
  </si>
  <si>
    <t xml:space="preserve">DC Gain </t>
  </si>
  <si>
    <t>Selected Pole</t>
  </si>
  <si>
    <t>Selected Zero</t>
  </si>
  <si>
    <t>Desired Current Limit</t>
  </si>
  <si>
    <r>
      <t>CCM DCR (m</t>
    </r>
    <r>
      <rPr>
        <sz val="11"/>
        <color theme="1"/>
        <rFont val="Calibri"/>
        <family val="2"/>
      </rPr>
      <t>Ω)</t>
    </r>
  </si>
  <si>
    <r>
      <t>DCM DCR (m</t>
    </r>
    <r>
      <rPr>
        <sz val="11"/>
        <color theme="1"/>
        <rFont val="Calibri"/>
        <family val="2"/>
      </rPr>
      <t>Ω)</t>
    </r>
  </si>
  <si>
    <t>Compensation Design Parameters</t>
  </si>
  <si>
    <t>FLY-BUCK Calculations</t>
  </si>
  <si>
    <t>Transformer Selection</t>
  </si>
  <si>
    <t>Transfromer Current</t>
  </si>
  <si>
    <t>VOUT1</t>
  </si>
  <si>
    <t>VOUT2</t>
  </si>
  <si>
    <t>VOUT3</t>
  </si>
  <si>
    <t>VOUT4</t>
  </si>
  <si>
    <t>VOUT5</t>
  </si>
  <si>
    <t>VOUT6</t>
  </si>
  <si>
    <t>Calculated VOUT Primary</t>
  </si>
  <si>
    <t>Selected VOUT Primary</t>
  </si>
  <si>
    <t>ESR VOUT Primary</t>
  </si>
  <si>
    <t>Resistor Feedback</t>
  </si>
  <si>
    <t>TOP Resistor</t>
  </si>
  <si>
    <t>Selected Bottom</t>
  </si>
  <si>
    <t>Calculated Bottom Resistor</t>
  </si>
  <si>
    <t>Selected Bottom Resistor</t>
  </si>
  <si>
    <t>Cac</t>
  </si>
  <si>
    <t>Ripple Injection Componets</t>
  </si>
  <si>
    <t>Calculated Cr</t>
  </si>
  <si>
    <t>Selected Cr</t>
  </si>
  <si>
    <t>Calculated Rr</t>
  </si>
  <si>
    <t>Selected Rr</t>
  </si>
  <si>
    <t>Worst Case Ripple</t>
  </si>
  <si>
    <t>Transfromer Currents</t>
  </si>
  <si>
    <t>Output Capacitor Caclulations</t>
  </si>
  <si>
    <t>FLY-BUCK-BOOST Caclulator</t>
  </si>
  <si>
    <t>Flyback DCM Calculator</t>
  </si>
  <si>
    <t>Flyback Calculator (CCM Operation)</t>
  </si>
  <si>
    <t>Fly-Buck Resources</t>
  </si>
  <si>
    <t>Topic</t>
  </si>
  <si>
    <t>Best Uses Case</t>
  </si>
  <si>
    <t>Link</t>
  </si>
  <si>
    <t>https://e2e.ti.com/blogs_/b/powerhouse/archive/2014/07/24/when-is-fly-buck-the-right-choice-for-your-isolated-power-needs</t>
  </si>
  <si>
    <t>TI Reference Designs</t>
  </si>
  <si>
    <t xml:space="preserve">Fly-Buck-Boost Reference </t>
  </si>
  <si>
    <t xml:space="preserve">Topic </t>
  </si>
  <si>
    <t>Linke</t>
  </si>
  <si>
    <t>Reference Designs</t>
  </si>
  <si>
    <t>Best Use Case</t>
  </si>
  <si>
    <t xml:space="preserve">https://e2e.ti.com/blogs_/b/powerhouse/archive/2014/11/08/should-you-use-buck-or-inverting-topology-for-fly-buck </t>
  </si>
  <si>
    <t xml:space="preserve">Current Limit </t>
  </si>
  <si>
    <t>COMPENSATION DESIGN</t>
  </si>
  <si>
    <t>Minimum Output Capacitor</t>
  </si>
  <si>
    <t>Output Diode Voltage Stress</t>
  </si>
  <si>
    <t>Isolated Feed Back</t>
  </si>
  <si>
    <t>Flyback Resources</t>
  </si>
  <si>
    <t>Reference Design</t>
  </si>
  <si>
    <t>Article</t>
  </si>
  <si>
    <t>Picard Article</t>
  </si>
  <si>
    <t>Add some for the part Numbers below</t>
  </si>
  <si>
    <t>Current Limit Calculations</t>
  </si>
  <si>
    <t>Compenstation</t>
  </si>
  <si>
    <t>COMPENSATION</t>
  </si>
  <si>
    <t>Min Operating Vin (V)</t>
  </si>
  <si>
    <t>Amps</t>
  </si>
  <si>
    <t>IMAX</t>
  </si>
  <si>
    <t>Device</t>
  </si>
  <si>
    <t>Vpri(max)</t>
  </si>
  <si>
    <t>times Min Vin</t>
  </si>
  <si>
    <t xml:space="preserve">Vpri = </t>
  </si>
  <si>
    <t xml:space="preserve">Efficiency = </t>
  </si>
  <si>
    <t>ROUGH ESTIMATE</t>
  </si>
  <si>
    <t>Vx</t>
  </si>
  <si>
    <t>Creator: Vijay Chourdary</t>
  </si>
  <si>
    <t>Max Output Power Calculator.</t>
  </si>
  <si>
    <t>General Curve In Both Fly-Buck and Fly-Buck-Boost Mode</t>
  </si>
  <si>
    <t>Fly-Buck Mode Operation Curve</t>
  </si>
  <si>
    <t>Fly-Buck-Boost Mode Operation Curve</t>
  </si>
  <si>
    <t>Topology Selection</t>
  </si>
  <si>
    <t>Actual</t>
  </si>
  <si>
    <t>Good?</t>
  </si>
  <si>
    <t>Limit</t>
  </si>
  <si>
    <t>Pout Level (W)</t>
  </si>
  <si>
    <t>VOUT MIN</t>
  </si>
  <si>
    <t>Fsw Min</t>
  </si>
  <si>
    <t>Fsw Max</t>
  </si>
  <si>
    <t>Selectable</t>
  </si>
  <si>
    <t>Topology Selectable</t>
  </si>
  <si>
    <t>Part / Topology Selection</t>
  </si>
  <si>
    <t>Fly-Back</t>
  </si>
  <si>
    <t>Part/Topo selection</t>
  </si>
  <si>
    <t xml:space="preserve">Part </t>
  </si>
  <si>
    <t>Topo</t>
  </si>
  <si>
    <t>Part</t>
  </si>
  <si>
    <t>Input Parameters</t>
  </si>
  <si>
    <t>Design Parameters</t>
  </si>
  <si>
    <t>External Componets</t>
  </si>
  <si>
    <t>Flyback Isolated Feedback (CCM)</t>
  </si>
  <si>
    <t>Flyback Non-Isolated Feedback (CCM)</t>
  </si>
  <si>
    <t>Flyback Primary Side Regulation (CCM)</t>
  </si>
  <si>
    <t>Flyback Isolated Feedback (DCM)</t>
  </si>
  <si>
    <t>Flyback Non-Isolated Feedback (DCM)</t>
  </si>
  <si>
    <t>Flyback Primary Side Regulation (DCM)</t>
  </si>
  <si>
    <t>Realitive Cost</t>
  </si>
  <si>
    <t xml:space="preserve">GWR </t>
  </si>
  <si>
    <t>Major update for fly-Buck calculations</t>
  </si>
  <si>
    <t>Fly-Buck-Boost Added</t>
  </si>
  <si>
    <t>Flyback (CCM/DCM) added</t>
  </si>
  <si>
    <t>Transformer Design Caclulations Complete</t>
  </si>
  <si>
    <t>Compenstation for Flyback designs complete</t>
  </si>
  <si>
    <t>Ripple Injection for COT added</t>
  </si>
  <si>
    <t>Started Clean up and adding references to the worksheets</t>
  </si>
  <si>
    <t>User inputs</t>
  </si>
  <si>
    <t>Key</t>
  </si>
  <si>
    <t>Condition Good</t>
  </si>
  <si>
    <t>Error (See Comment</t>
  </si>
  <si>
    <t>Output Voltage</t>
  </si>
  <si>
    <t>Maximum Load Current</t>
  </si>
  <si>
    <t>Non-Isolated Outputs</t>
  </si>
  <si>
    <t>Isolated Outputs</t>
  </si>
  <si>
    <t>Suggested Output Voltage</t>
  </si>
  <si>
    <t>Selected Output Voltage (Vpri)</t>
  </si>
  <si>
    <t>Maximum Load Current (Ipri)</t>
  </si>
  <si>
    <t>Output Ripple Voltage</t>
  </si>
  <si>
    <t>Design Comparisons</t>
  </si>
  <si>
    <t>AUX VOUT</t>
  </si>
  <si>
    <t>Total External Parts (Non-ISO)</t>
  </si>
  <si>
    <t>Isolated Feedback Parts count</t>
  </si>
  <si>
    <t>Isolated estimated Costs</t>
  </si>
  <si>
    <t>Non Isolated Estimated Costs</t>
  </si>
  <si>
    <t>Electrolytic</t>
  </si>
  <si>
    <t>0603 Capacitor</t>
  </si>
  <si>
    <t>Reistor</t>
  </si>
  <si>
    <t>Ceramic Capacitor</t>
  </si>
  <si>
    <t>Didoes</t>
  </si>
  <si>
    <t>MOSFETS</t>
  </si>
  <si>
    <t>Componet</t>
  </si>
  <si>
    <t>1K Pricing ($)</t>
  </si>
  <si>
    <t>Voltage Ref</t>
  </si>
  <si>
    <t>Part Count for selected part</t>
  </si>
  <si>
    <t>Approximate cost</t>
  </si>
  <si>
    <t>$</t>
  </si>
  <si>
    <t>#</t>
  </si>
  <si>
    <t>Part Number</t>
  </si>
  <si>
    <t>Price</t>
  </si>
  <si>
    <t>Iso Price</t>
  </si>
  <si>
    <t>Iso Part Count</t>
  </si>
  <si>
    <t>Non-Iso Part Count</t>
  </si>
  <si>
    <t>Non-Iso Price</t>
  </si>
  <si>
    <t>Size &amp; Cost Comparison</t>
  </si>
  <si>
    <t>Performance Comparison</t>
  </si>
  <si>
    <t>Reference Material</t>
  </si>
  <si>
    <t>Dead Time Losses</t>
  </si>
  <si>
    <t>LS FET QRR Losses</t>
  </si>
  <si>
    <t>Dead Time</t>
  </si>
  <si>
    <t>Dead Time (s)</t>
  </si>
  <si>
    <t>Low Side Reverse Recover Charge (C )</t>
  </si>
  <si>
    <t>LS Reverse Recover Charge</t>
  </si>
  <si>
    <t>C</t>
  </si>
  <si>
    <t xml:space="preserve">Dead Time </t>
  </si>
  <si>
    <t>Reverse Recovery Charge</t>
  </si>
  <si>
    <t>Turns Ratio Selections</t>
  </si>
  <si>
    <t>Selected IC</t>
  </si>
  <si>
    <t>Assumed Flyback Diode Charge</t>
  </si>
  <si>
    <t>zx</t>
  </si>
  <si>
    <t>Reverse Recovery Loss</t>
  </si>
  <si>
    <t>Ripple Injection Compensation</t>
  </si>
  <si>
    <t>Output Capacitance</t>
  </si>
  <si>
    <t>Fly-Buck Landing Page</t>
  </si>
  <si>
    <t>http://www.ti.com/ww/en/analog/power_management/fly_buck_topology/index.html</t>
  </si>
  <si>
    <t>Transformer Design</t>
  </si>
  <si>
    <t>Selected Core Parameters</t>
  </si>
  <si>
    <t>Cross Section Size</t>
  </si>
  <si>
    <t>Suggested Wire Gauge</t>
  </si>
  <si>
    <t>DC Resistance</t>
  </si>
  <si>
    <t>AC Resistance</t>
  </si>
  <si>
    <t>Core Selection</t>
  </si>
  <si>
    <t>Windings</t>
  </si>
  <si>
    <t>Revision 1p00 released to marketing.</t>
  </si>
  <si>
    <t>NON-ISOLATED Compensation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</si>
</sst>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E+0"/>
    <numFmt numFmtId="165" formatCode="0.000"/>
    <numFmt numFmtId="166" formatCode="0.0000"/>
    <numFmt numFmtId="167" formatCode="0.0000000"/>
    <numFmt numFmtId="168" formatCode="0.000000"/>
    <numFmt numFmtId="169" formatCode="0.00000"/>
    <numFmt numFmtId="170" formatCode="##0.000E+0"/>
    <numFmt numFmtId="171" formatCode="##0E+0"/>
    <numFmt numFmtId="172" formatCode="0.00000000000000000000000"/>
    <numFmt numFmtId="173" formatCode=";;;"/>
    <numFmt numFmtId="174" formatCode="0.0"/>
  </numFmts>
  <fonts count="25" x14ac:knownFonts="1">
    <font>
      <sz val="11"/>
      <color theme="1"/>
      <name val="Calibri"/>
      <family val="2"/>
      <scheme val="minor"/>
    </font>
    <font>
      <sz val="9"/>
      <color indexed="81"/>
      <name val="Tahoma"/>
      <family val="2"/>
    </font>
    <font>
      <b/>
      <sz val="11"/>
      <color theme="1"/>
      <name val="Calibri"/>
      <family val="2"/>
      <scheme val="minor"/>
    </font>
    <font>
      <b/>
      <sz val="9"/>
      <color indexed="81"/>
      <name val="Tahoma"/>
      <family val="2"/>
    </font>
    <font>
      <u/>
      <sz val="11"/>
      <color theme="1"/>
      <name val="Calibri"/>
      <family val="2"/>
      <scheme val="minor"/>
    </font>
    <font>
      <sz val="9"/>
      <color indexed="81"/>
      <name val="Tahoma"/>
      <charset val="1"/>
    </font>
    <font>
      <sz val="11"/>
      <color theme="1"/>
      <name val="Calibri"/>
      <family val="2"/>
    </font>
    <font>
      <sz val="18"/>
      <color theme="1"/>
      <name val="Calibri"/>
      <family val="2"/>
      <scheme val="minor"/>
    </font>
    <font>
      <sz val="11"/>
      <name val="Calibri"/>
      <family val="2"/>
      <scheme val="minor"/>
    </font>
    <font>
      <b/>
      <sz val="9"/>
      <color indexed="81"/>
      <name val="Tahoma"/>
      <charset val="1"/>
    </font>
    <font>
      <sz val="11"/>
      <color theme="1"/>
      <name val="Calibri"/>
      <family val="2"/>
      <scheme val="minor"/>
    </font>
    <font>
      <sz val="11"/>
      <color rgb="FF006100"/>
      <name val="Calibri"/>
      <family val="2"/>
      <scheme val="minor"/>
    </font>
    <font>
      <sz val="18"/>
      <color theme="0"/>
      <name val="Calibri"/>
      <family val="2"/>
      <scheme val="minor"/>
    </font>
    <font>
      <sz val="20"/>
      <color theme="0"/>
      <name val="Calibri"/>
      <family val="2"/>
      <scheme val="minor"/>
    </font>
    <font>
      <sz val="9"/>
      <color indexed="81"/>
      <name val="Calibri"/>
      <family val="2"/>
    </font>
    <font>
      <u/>
      <sz val="11"/>
      <color theme="10"/>
      <name val="Calibri"/>
      <family val="2"/>
      <scheme val="minor"/>
    </font>
    <font>
      <sz val="10"/>
      <color theme="1"/>
      <name val="Arial"/>
      <family val="2"/>
    </font>
    <font>
      <sz val="14"/>
      <color theme="1"/>
      <name val="Calibri"/>
      <family val="2"/>
      <scheme val="minor"/>
    </font>
    <font>
      <b/>
      <sz val="22"/>
      <color theme="0"/>
      <name val="Calibri"/>
      <family val="2"/>
      <scheme val="minor"/>
    </font>
    <font>
      <u/>
      <sz val="12"/>
      <color theme="1"/>
      <name val="Calibri"/>
      <family val="2"/>
      <scheme val="minor"/>
    </font>
    <font>
      <sz val="11"/>
      <color theme="0"/>
      <name val="Calibri"/>
      <family val="2"/>
      <scheme val="minor"/>
    </font>
    <font>
      <b/>
      <sz val="20"/>
      <color theme="1"/>
      <name val="Calibri"/>
      <family val="2"/>
      <scheme val="minor"/>
    </font>
    <font>
      <sz val="14"/>
      <color theme="0"/>
      <name val="Calibri"/>
      <family val="2"/>
      <scheme val="minor"/>
    </font>
    <font>
      <sz val="11"/>
      <color rgb="FFFF0000"/>
      <name val="Calibri"/>
      <family val="2"/>
      <scheme val="minor"/>
    </font>
    <font>
      <sz val="20"/>
      <color theme="1"/>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s>
  <cellStyleXfs count="6">
    <xf numFmtId="0" fontId="0" fillId="0" borderId="0"/>
    <xf numFmtId="9" fontId="10" fillId="0" borderId="0" applyFont="0" applyFill="0" applyBorder="0" applyAlignment="0" applyProtection="0"/>
    <xf numFmtId="0" fontId="11" fillId="8" borderId="0" applyNumberFormat="0" applyBorder="0" applyAlignment="0" applyProtection="0"/>
    <xf numFmtId="0" fontId="15" fillId="0" borderId="0" applyNumberFormat="0" applyFill="0" applyBorder="0" applyAlignment="0" applyProtection="0"/>
    <xf numFmtId="0" fontId="16" fillId="0" borderId="0"/>
    <xf numFmtId="9" fontId="16" fillId="0" borderId="0" applyFont="0" applyFill="0" applyBorder="0" applyAlignment="0" applyProtection="0"/>
  </cellStyleXfs>
  <cellXfs count="528">
    <xf numFmtId="0" fontId="0" fillId="0" borderId="0" xfId="0"/>
    <xf numFmtId="0" fontId="0" fillId="0" borderId="0" xfId="0" applyFill="1"/>
    <xf numFmtId="164" fontId="0" fillId="0" borderId="0" xfId="0" applyNumberFormat="1"/>
    <xf numFmtId="14" fontId="0" fillId="0" borderId="0" xfId="0" applyNumberFormat="1"/>
    <xf numFmtId="0" fontId="0" fillId="0" borderId="0" xfId="0" applyAlignment="1">
      <alignment wrapText="1"/>
    </xf>
    <xf numFmtId="0" fontId="2" fillId="0" borderId="0" xfId="0" applyFont="1"/>
    <xf numFmtId="2" fontId="0" fillId="0" borderId="1" xfId="0" applyNumberFormat="1" applyBorder="1"/>
    <xf numFmtId="0" fontId="0" fillId="3" borderId="1" xfId="0" applyFill="1" applyBorder="1"/>
    <xf numFmtId="165" fontId="0" fillId="0" borderId="1" xfId="0" applyNumberFormat="1" applyBorder="1"/>
    <xf numFmtId="165" fontId="0" fillId="0" borderId="0" xfId="0" applyNumberFormat="1"/>
    <xf numFmtId="166" fontId="0" fillId="0" borderId="0" xfId="0" applyNumberFormat="1"/>
    <xf numFmtId="0" fontId="0" fillId="0" borderId="0" xfId="0" applyAlignment="1"/>
    <xf numFmtId="0" fontId="0" fillId="0" borderId="1" xfId="0" applyBorder="1"/>
    <xf numFmtId="0" fontId="0" fillId="0" borderId="0" xfId="0" applyAlignment="1">
      <alignment horizontal="center"/>
    </xf>
    <xf numFmtId="0" fontId="0" fillId="0" borderId="0" xfId="0" applyAlignment="1">
      <alignment horizontal="center" vertical="center" wrapText="1"/>
    </xf>
    <xf numFmtId="2" fontId="0" fillId="0" borderId="0" xfId="0" applyNumberFormat="1"/>
    <xf numFmtId="2" fontId="0" fillId="0" borderId="0" xfId="0" applyNumberFormat="1" applyAlignment="1">
      <alignment horizontal="center" vertical="center" wrapText="1"/>
    </xf>
    <xf numFmtId="0" fontId="6" fillId="0" borderId="0" xfId="0" applyFont="1"/>
    <xf numFmtId="169" fontId="0" fillId="0" borderId="0" xfId="0" applyNumberFormat="1"/>
    <xf numFmtId="164" fontId="0" fillId="0" borderId="1" xfId="0" applyNumberFormat="1" applyBorder="1"/>
    <xf numFmtId="164" fontId="0" fillId="0" borderId="0" xfId="0" applyNumberFormat="1" applyAlignment="1">
      <alignment horizontal="center" vertical="center" wrapText="1"/>
    </xf>
    <xf numFmtId="166" fontId="0" fillId="0" borderId="1" xfId="0" applyNumberFormat="1" applyBorder="1"/>
    <xf numFmtId="170" fontId="0" fillId="0" borderId="0" xfId="0" applyNumberFormat="1"/>
    <xf numFmtId="171" fontId="0" fillId="0" borderId="1" xfId="0" applyNumberFormat="1" applyBorder="1"/>
    <xf numFmtId="0" fontId="0" fillId="0" borderId="3" xfId="0" applyBorder="1"/>
    <xf numFmtId="0" fontId="0" fillId="0" borderId="4" xfId="0" applyBorder="1"/>
    <xf numFmtId="164" fontId="0" fillId="0" borderId="4"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1" fontId="0" fillId="0" borderId="4" xfId="0" applyNumberFormat="1" applyBorder="1"/>
    <xf numFmtId="171" fontId="0" fillId="0" borderId="5" xfId="0" applyNumberFormat="1" applyBorder="1"/>
    <xf numFmtId="171" fontId="0" fillId="0" borderId="7" xfId="0" applyNumberFormat="1" applyBorder="1"/>
    <xf numFmtId="164" fontId="0" fillId="0" borderId="9" xfId="0" applyNumberFormat="1" applyBorder="1"/>
    <xf numFmtId="166" fontId="0" fillId="0" borderId="9" xfId="0" applyNumberFormat="1" applyBorder="1"/>
    <xf numFmtId="172" fontId="0" fillId="0" borderId="0" xfId="0" applyNumberFormat="1"/>
    <xf numFmtId="170" fontId="0" fillId="0" borderId="1" xfId="0" applyNumberFormat="1" applyBorder="1"/>
    <xf numFmtId="164" fontId="0" fillId="0" borderId="3"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10" xfId="0" applyNumberFormat="1" applyBorder="1"/>
    <xf numFmtId="164" fontId="0" fillId="0" borderId="13" xfId="0" applyNumberFormat="1" applyBorder="1"/>
    <xf numFmtId="164" fontId="0" fillId="0" borderId="14" xfId="0" applyNumberFormat="1" applyBorder="1"/>
    <xf numFmtId="165" fontId="0" fillId="0" borderId="17" xfId="0" applyNumberFormat="1" applyBorder="1" applyAlignment="1">
      <alignment horizontal="center" vertical="center" wrapText="1"/>
    </xf>
    <xf numFmtId="165" fontId="0" fillId="0" borderId="18" xfId="0" applyNumberFormat="1" applyBorder="1" applyAlignment="1">
      <alignment horizontal="center" vertical="center" wrapText="1"/>
    </xf>
    <xf numFmtId="165" fontId="0" fillId="0" borderId="15" xfId="0" applyNumberFormat="1" applyBorder="1" applyAlignment="1">
      <alignment horizontal="center" vertical="center" wrapText="1"/>
    </xf>
    <xf numFmtId="165" fontId="0" fillId="0" borderId="16" xfId="0" applyNumberFormat="1" applyBorder="1" applyAlignment="1">
      <alignment horizontal="center" vertical="center" wrapText="1"/>
    </xf>
    <xf numFmtId="166" fontId="0" fillId="0" borderId="6" xfId="0" applyNumberFormat="1" applyBorder="1"/>
    <xf numFmtId="166" fontId="0" fillId="0" borderId="8" xfId="0" applyNumberFormat="1" applyBorder="1"/>
    <xf numFmtId="165" fontId="0" fillId="0" borderId="6" xfId="0" applyNumberFormat="1" applyBorder="1"/>
    <xf numFmtId="165" fontId="0" fillId="0" borderId="7" xfId="0" applyNumberFormat="1" applyBorder="1"/>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xf numFmtId="0" fontId="0" fillId="0" borderId="20" xfId="0" applyBorder="1"/>
    <xf numFmtId="166" fontId="0" fillId="0" borderId="12" xfId="0" applyNumberFormat="1" applyBorder="1"/>
    <xf numFmtId="166" fontId="0" fillId="0" borderId="5" xfId="0" applyNumberFormat="1" applyBorder="1"/>
    <xf numFmtId="0" fontId="0" fillId="0" borderId="21" xfId="0" applyBorder="1"/>
    <xf numFmtId="166" fontId="0" fillId="0" borderId="7" xfId="0" applyNumberFormat="1" applyBorder="1"/>
    <xf numFmtId="0" fontId="0" fillId="0" borderId="22" xfId="0" applyBorder="1"/>
    <xf numFmtId="166" fontId="0" fillId="0" borderId="10" xfId="0" applyNumberFormat="1" applyBorder="1"/>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164" fontId="0" fillId="4" borderId="7" xfId="0" applyNumberFormat="1" applyFill="1" applyBorder="1"/>
    <xf numFmtId="164" fontId="0" fillId="4" borderId="10" xfId="0" applyNumberFormat="1" applyFill="1" applyBorder="1"/>
    <xf numFmtId="0" fontId="0" fillId="2" borderId="0" xfId="0" applyFill="1" applyAlignment="1"/>
    <xf numFmtId="165" fontId="0" fillId="0" borderId="0" xfId="0" applyNumberFormat="1" applyBorder="1" applyAlignment="1">
      <alignment horizontal="center" vertical="center" wrapText="1"/>
    </xf>
    <xf numFmtId="165" fontId="0" fillId="0" borderId="19" xfId="0" applyNumberFormat="1" applyBorder="1" applyAlignment="1">
      <alignment horizontal="center" vertical="center" wrapText="1"/>
    </xf>
    <xf numFmtId="2" fontId="0" fillId="4" borderId="11" xfId="0" applyNumberFormat="1" applyFill="1" applyBorder="1"/>
    <xf numFmtId="2" fontId="0" fillId="4" borderId="26" xfId="0" applyNumberFormat="1" applyFill="1" applyBorder="1"/>
    <xf numFmtId="165" fontId="0" fillId="0" borderId="3" xfId="0" applyNumberFormat="1" applyBorder="1" applyAlignment="1">
      <alignment horizontal="center" vertical="center" wrapText="1"/>
    </xf>
    <xf numFmtId="165" fontId="0" fillId="0" borderId="5" xfId="0" applyNumberFormat="1" applyBorder="1" applyAlignment="1">
      <alignment horizontal="center" vertical="center" wrapText="1"/>
    </xf>
    <xf numFmtId="2" fontId="0" fillId="0" borderId="6" xfId="0" applyNumberFormat="1" applyFill="1" applyBorder="1"/>
    <xf numFmtId="164" fontId="0" fillId="4" borderId="11" xfId="0" applyNumberFormat="1" applyFill="1" applyBorder="1"/>
    <xf numFmtId="164" fontId="0" fillId="4" borderId="26" xfId="0" applyNumberFormat="1" applyFill="1" applyBorder="1"/>
    <xf numFmtId="165" fontId="0" fillId="0" borderId="23" xfId="0" applyNumberFormat="1" applyBorder="1" applyAlignment="1">
      <alignment horizontal="center" vertical="center" wrapText="1"/>
    </xf>
    <xf numFmtId="165" fontId="0" fillId="0" borderId="25" xfId="0" applyNumberFormat="1" applyBorder="1" applyAlignment="1">
      <alignment horizontal="center" vertical="center" wrapText="1"/>
    </xf>
    <xf numFmtId="164" fontId="0" fillId="0" borderId="27" xfId="0" applyNumberFormat="1" applyBorder="1"/>
    <xf numFmtId="164" fontId="0" fillId="0" borderId="28" xfId="0" applyNumberFormat="1" applyBorder="1"/>
    <xf numFmtId="48" fontId="0" fillId="0" borderId="6" xfId="0" applyNumberFormat="1" applyBorder="1"/>
    <xf numFmtId="48" fontId="0" fillId="0" borderId="7" xfId="0" applyNumberFormat="1" applyBorder="1"/>
    <xf numFmtId="48" fontId="0" fillId="4" borderId="7" xfId="0" applyNumberFormat="1" applyFill="1" applyBorder="1"/>
    <xf numFmtId="48" fontId="0" fillId="4" borderId="10" xfId="0" applyNumberFormat="1" applyFill="1" applyBorder="1"/>
    <xf numFmtId="2"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17" xfId="0" applyBorder="1"/>
    <xf numFmtId="0" fontId="0" fillId="0" borderId="0" xfId="0" applyBorder="1"/>
    <xf numFmtId="0" fontId="0" fillId="0" borderId="18" xfId="0" applyBorder="1"/>
    <xf numFmtId="0" fontId="0" fillId="0" borderId="0" xfId="0" applyBorder="1" applyAlignment="1"/>
    <xf numFmtId="0" fontId="0" fillId="0" borderId="0" xfId="0" applyBorder="1" applyAlignment="1">
      <alignment horizontal="center"/>
    </xf>
    <xf numFmtId="0" fontId="0" fillId="0" borderId="0" xfId="0" applyFont="1" applyBorder="1" applyAlignment="1">
      <alignment horizontal="center"/>
    </xf>
    <xf numFmtId="164" fontId="0" fillId="0" borderId="0" xfId="0" applyNumberFormat="1" applyBorder="1"/>
    <xf numFmtId="168" fontId="0" fillId="0" borderId="0" xfId="0" applyNumberFormat="1" applyBorder="1"/>
    <xf numFmtId="0" fontId="0" fillId="0" borderId="17" xfId="0" applyBorder="1" applyAlignment="1">
      <alignment horizontal="center"/>
    </xf>
    <xf numFmtId="0" fontId="6" fillId="0" borderId="0" xfId="0" applyFont="1" applyBorder="1"/>
    <xf numFmtId="2" fontId="0" fillId="0" borderId="0" xfId="0" applyNumberFormat="1" applyBorder="1"/>
    <xf numFmtId="167" fontId="0" fillId="0" borderId="0" xfId="0" applyNumberFormat="1" applyBorder="1"/>
    <xf numFmtId="166" fontId="0" fillId="0" borderId="0" xfId="0" applyNumberFormat="1" applyBorder="1"/>
    <xf numFmtId="0" fontId="0" fillId="0" borderId="29" xfId="0" applyBorder="1"/>
    <xf numFmtId="167" fontId="0" fillId="0" borderId="30" xfId="0" applyNumberFormat="1" applyBorder="1"/>
    <xf numFmtId="0" fontId="0" fillId="0" borderId="30" xfId="0" applyBorder="1"/>
    <xf numFmtId="0" fontId="6" fillId="0" borderId="30" xfId="0" applyFont="1" applyBorder="1"/>
    <xf numFmtId="0" fontId="0" fillId="0" borderId="31" xfId="0" applyBorder="1"/>
    <xf numFmtId="2" fontId="0" fillId="0" borderId="19" xfId="0" applyNumberFormat="1" applyBorder="1" applyAlignment="1">
      <alignment horizontal="center" vertical="center" wrapText="1"/>
    </xf>
    <xf numFmtId="48" fontId="0" fillId="0" borderId="13" xfId="0" applyNumberFormat="1" applyBorder="1"/>
    <xf numFmtId="0" fontId="0" fillId="0" borderId="0" xfId="0" applyBorder="1" applyAlignment="1">
      <alignment horizontal="center"/>
    </xf>
    <xf numFmtId="0" fontId="0" fillId="0" borderId="0" xfId="0" applyAlignment="1">
      <alignment horizontal="center"/>
    </xf>
    <xf numFmtId="0" fontId="0" fillId="6" borderId="0" xfId="0" applyFill="1" applyAlignment="1">
      <alignment horizontal="center"/>
    </xf>
    <xf numFmtId="168" fontId="0" fillId="0" borderId="1" xfId="0" applyNumberFormat="1" applyBorder="1"/>
    <xf numFmtId="0" fontId="0" fillId="0" borderId="0" xfId="0" applyFill="1" applyBorder="1"/>
    <xf numFmtId="165" fontId="0" fillId="0" borderId="0" xfId="0" applyNumberFormat="1" applyFill="1" applyBorder="1"/>
    <xf numFmtId="166" fontId="0" fillId="0" borderId="17" xfId="0" applyNumberFormat="1" applyBorder="1"/>
    <xf numFmtId="166" fontId="0" fillId="0" borderId="18" xfId="0" applyNumberFormat="1" applyBorder="1"/>
    <xf numFmtId="166" fontId="0" fillId="0" borderId="29" xfId="0" applyNumberFormat="1" applyBorder="1"/>
    <xf numFmtId="166" fontId="0" fillId="0" borderId="30" xfId="0" applyNumberFormat="1" applyBorder="1"/>
    <xf numFmtId="166" fontId="0" fillId="0" borderId="31" xfId="0" applyNumberFormat="1" applyBorder="1"/>
    <xf numFmtId="164" fontId="0" fillId="0" borderId="17" xfId="0" applyNumberFormat="1" applyBorder="1"/>
    <xf numFmtId="164" fontId="0" fillId="0" borderId="18" xfId="0" applyNumberFormat="1" applyBorder="1"/>
    <xf numFmtId="164" fontId="0" fillId="0" borderId="29" xfId="0" applyNumberFormat="1" applyBorder="1"/>
    <xf numFmtId="164" fontId="0" fillId="0" borderId="30" xfId="0" applyNumberFormat="1" applyBorder="1"/>
    <xf numFmtId="164" fontId="0" fillId="0" borderId="31" xfId="0" applyNumberFormat="1" applyBorder="1"/>
    <xf numFmtId="0" fontId="0" fillId="0" borderId="34" xfId="0" applyBorder="1"/>
    <xf numFmtId="0" fontId="0" fillId="0" borderId="35" xfId="0" applyBorder="1"/>
    <xf numFmtId="0" fontId="0" fillId="0" borderId="32" xfId="0" applyBorder="1" applyAlignment="1">
      <alignment horizontal="center" vertical="center" wrapText="1"/>
    </xf>
    <xf numFmtId="0" fontId="0" fillId="0" borderId="36" xfId="0" applyBorder="1"/>
    <xf numFmtId="0" fontId="0" fillId="0" borderId="37" xfId="0" applyBorder="1"/>
    <xf numFmtId="166" fontId="0" fillId="0" borderId="38" xfId="0" applyNumberFormat="1" applyBorder="1"/>
    <xf numFmtId="165" fontId="0" fillId="0" borderId="2" xfId="0" applyNumberFormat="1" applyBorder="1"/>
    <xf numFmtId="0" fontId="0" fillId="0" borderId="15" xfId="0" applyBorder="1"/>
    <xf numFmtId="0" fontId="0" fillId="0" borderId="16" xfId="0" applyBorder="1"/>
    <xf numFmtId="168" fontId="0" fillId="0" borderId="30" xfId="0" applyNumberFormat="1" applyBorder="1"/>
    <xf numFmtId="0" fontId="0" fillId="0" borderId="18" xfId="0" applyFill="1" applyBorder="1"/>
    <xf numFmtId="0" fontId="8" fillId="2" borderId="0" xfId="0" applyFont="1" applyFill="1"/>
    <xf numFmtId="2" fontId="0" fillId="4" borderId="1" xfId="0" applyNumberFormat="1" applyFill="1" applyBorder="1"/>
    <xf numFmtId="2" fontId="0" fillId="0" borderId="1" xfId="0" applyNumberFormat="1" applyFill="1" applyBorder="1"/>
    <xf numFmtId="48" fontId="0" fillId="4" borderId="1" xfId="0" applyNumberFormat="1" applyFill="1" applyBorder="1"/>
    <xf numFmtId="164" fontId="0" fillId="4" borderId="1" xfId="0" applyNumberFormat="1" applyFill="1" applyBorder="1"/>
    <xf numFmtId="166" fontId="0" fillId="0" borderId="39" xfId="0" applyNumberFormat="1" applyBorder="1"/>
    <xf numFmtId="0" fontId="0" fillId="0" borderId="27" xfId="0" applyBorder="1"/>
    <xf numFmtId="0" fontId="0" fillId="0" borderId="40" xfId="0" applyBorder="1"/>
    <xf numFmtId="166" fontId="0" fillId="0" borderId="41" xfId="0" applyNumberFormat="1" applyBorder="1"/>
    <xf numFmtId="0" fontId="0" fillId="0" borderId="12" xfId="0" applyBorder="1"/>
    <xf numFmtId="0" fontId="0" fillId="0" borderId="28" xfId="0" applyBorder="1"/>
    <xf numFmtId="0" fontId="0" fillId="0" borderId="42" xfId="0" applyBorder="1"/>
    <xf numFmtId="0" fontId="0" fillId="0" borderId="13" xfId="0" applyBorder="1"/>
    <xf numFmtId="0" fontId="0" fillId="0" borderId="14" xfId="0" applyBorder="1"/>
    <xf numFmtId="166" fontId="0" fillId="0" borderId="28" xfId="0" applyNumberFormat="1" applyBorder="1"/>
    <xf numFmtId="166" fontId="0" fillId="0" borderId="42" xfId="0" applyNumberFormat="1" applyBorder="1"/>
    <xf numFmtId="2" fontId="0" fillId="4" borderId="39" xfId="0" applyNumberFormat="1" applyFill="1" applyBorder="1"/>
    <xf numFmtId="2" fontId="0" fillId="0" borderId="39" xfId="0" applyNumberFormat="1" applyFill="1" applyBorder="1"/>
    <xf numFmtId="48" fontId="0" fillId="4" borderId="39" xfId="0" applyNumberFormat="1" applyFill="1" applyBorder="1"/>
    <xf numFmtId="164" fontId="0" fillId="0" borderId="39" xfId="0" applyNumberFormat="1" applyBorder="1"/>
    <xf numFmtId="164" fontId="0" fillId="4" borderId="39" xfId="0" applyNumberFormat="1" applyFill="1" applyBorder="1"/>
    <xf numFmtId="164" fontId="0" fillId="4" borderId="38" xfId="0" applyNumberFormat="1" applyFill="1" applyBorder="1"/>
    <xf numFmtId="165" fontId="0" fillId="0" borderId="24" xfId="0" applyNumberFormat="1" applyBorder="1" applyAlignment="1">
      <alignment horizontal="center" vertical="center" wrapText="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6" fontId="0" fillId="0" borderId="27" xfId="0" applyNumberFormat="1" applyBorder="1"/>
    <xf numFmtId="166" fontId="0" fillId="0" borderId="40" xfId="0" applyNumberFormat="1" applyBorder="1"/>
    <xf numFmtId="2" fontId="0" fillId="4" borderId="41" xfId="0" applyNumberFormat="1" applyFill="1" applyBorder="1"/>
    <xf numFmtId="2" fontId="0" fillId="0" borderId="41" xfId="0" applyNumberFormat="1" applyFill="1" applyBorder="1"/>
    <xf numFmtId="48" fontId="0" fillId="4" borderId="41" xfId="0" applyNumberFormat="1" applyFill="1" applyBorder="1"/>
    <xf numFmtId="164" fontId="0" fillId="0" borderId="41" xfId="0" applyNumberFormat="1" applyBorder="1"/>
    <xf numFmtId="164" fontId="0" fillId="4" borderId="41" xfId="0" applyNumberFormat="1" applyFill="1" applyBorder="1"/>
    <xf numFmtId="164" fontId="0" fillId="4" borderId="45" xfId="0" applyNumberFormat="1" applyFill="1" applyBorder="1"/>
    <xf numFmtId="0" fontId="0" fillId="0" borderId="43" xfId="0" applyBorder="1"/>
    <xf numFmtId="0" fontId="0" fillId="0" borderId="44" xfId="0" applyBorder="1"/>
    <xf numFmtId="166" fontId="0" fillId="0" borderId="44" xfId="0" applyNumberFormat="1" applyBorder="1"/>
    <xf numFmtId="0" fontId="0" fillId="0" borderId="46" xfId="0" applyBorder="1"/>
    <xf numFmtId="0" fontId="0" fillId="0" borderId="17" xfId="0" applyFill="1" applyBorder="1"/>
    <xf numFmtId="48" fontId="0" fillId="0" borderId="1" xfId="0" applyNumberFormat="1" applyBorder="1"/>
    <xf numFmtId="165" fontId="0" fillId="0" borderId="11" xfId="0" applyNumberFormat="1" applyBorder="1"/>
    <xf numFmtId="165" fontId="0" fillId="0" borderId="33" xfId="0" applyNumberFormat="1" applyBorder="1" applyAlignment="1">
      <alignment horizontal="center" vertical="center" wrapText="1"/>
    </xf>
    <xf numFmtId="166" fontId="0" fillId="0" borderId="47" xfId="0" applyNumberFormat="1" applyBorder="1"/>
    <xf numFmtId="166" fontId="0" fillId="0" borderId="48" xfId="0" applyNumberFormat="1" applyBorder="1"/>
    <xf numFmtId="166" fontId="0" fillId="0" borderId="11" xfId="0" applyNumberFormat="1" applyBorder="1"/>
    <xf numFmtId="166" fontId="0" fillId="0" borderId="49" xfId="0" applyNumberFormat="1" applyBorder="1"/>
    <xf numFmtId="166" fontId="0" fillId="0" borderId="3" xfId="0" applyNumberFormat="1" applyBorder="1"/>
    <xf numFmtId="166" fontId="0" fillId="0" borderId="4" xfId="0" applyNumberFormat="1" applyBorder="1"/>
    <xf numFmtId="0" fontId="0" fillId="0" borderId="1" xfId="0" applyFill="1" applyBorder="1"/>
    <xf numFmtId="169" fontId="0" fillId="0" borderId="1" xfId="0" applyNumberFormat="1" applyBorder="1"/>
    <xf numFmtId="169" fontId="0" fillId="0" borderId="18" xfId="0" applyNumberFormat="1" applyBorder="1"/>
    <xf numFmtId="48" fontId="0" fillId="0" borderId="17" xfId="0" applyNumberFormat="1" applyBorder="1"/>
    <xf numFmtId="48" fontId="0" fillId="0" borderId="29" xfId="0" applyNumberFormat="1" applyBorder="1"/>
    <xf numFmtId="164" fontId="0" fillId="0" borderId="1" xfId="0" applyNumberFormat="1" applyFill="1" applyBorder="1"/>
    <xf numFmtId="0" fontId="0" fillId="0" borderId="39" xfId="0" applyBorder="1"/>
    <xf numFmtId="0" fontId="0" fillId="0" borderId="50" xfId="0" applyBorder="1" applyAlignment="1">
      <alignment horizontal="center" vertical="center" wrapText="1"/>
    </xf>
    <xf numFmtId="169" fontId="0" fillId="0" borderId="7" xfId="0" applyNumberFormat="1" applyBorder="1"/>
    <xf numFmtId="169" fontId="0" fillId="0" borderId="9" xfId="0" applyNumberFormat="1" applyBorder="1"/>
    <xf numFmtId="169" fontId="0" fillId="0" borderId="10" xfId="0" applyNumberFormat="1" applyBorder="1"/>
    <xf numFmtId="169" fontId="0" fillId="0" borderId="39" xfId="0" applyNumberFormat="1" applyBorder="1"/>
    <xf numFmtId="169" fontId="0" fillId="0" borderId="28" xfId="0" applyNumberFormat="1" applyBorder="1"/>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1" xfId="0" applyBorder="1" applyAlignment="1"/>
    <xf numFmtId="0" fontId="0" fillId="0" borderId="53" xfId="0" applyFill="1" applyBorder="1" applyAlignment="1"/>
    <xf numFmtId="48" fontId="0" fillId="0" borderId="0" xfId="0" applyNumberFormat="1" applyBorder="1"/>
    <xf numFmtId="48" fontId="0" fillId="0" borderId="11" xfId="0" applyNumberFormat="1" applyBorder="1"/>
    <xf numFmtId="48" fontId="0" fillId="0" borderId="8" xfId="0" applyNumberFormat="1" applyBorder="1"/>
    <xf numFmtId="48" fontId="0" fillId="0" borderId="9" xfId="0" applyNumberFormat="1" applyBorder="1"/>
    <xf numFmtId="48" fontId="0" fillId="0" borderId="10" xfId="0" applyNumberFormat="1" applyBorder="1"/>
    <xf numFmtId="48" fontId="0" fillId="0" borderId="27" xfId="0" applyNumberFormat="1" applyBorder="1"/>
    <xf numFmtId="48" fontId="0" fillId="0" borderId="38" xfId="0" applyNumberFormat="1" applyBorder="1"/>
    <xf numFmtId="0" fontId="0" fillId="0" borderId="0" xfId="0" applyBorder="1" applyAlignment="1">
      <alignment horizontal="center" vertical="center" wrapText="1"/>
    </xf>
    <xf numFmtId="0" fontId="0" fillId="0" borderId="1" xfId="0" applyFill="1" applyBorder="1" applyAlignment="1"/>
    <xf numFmtId="0" fontId="6" fillId="0" borderId="1" xfId="0" applyFont="1" applyBorder="1"/>
    <xf numFmtId="0" fontId="6" fillId="0" borderId="53" xfId="0" applyFont="1" applyFill="1" applyBorder="1"/>
    <xf numFmtId="48" fontId="0" fillId="0" borderId="0" xfId="0" applyNumberFormat="1"/>
    <xf numFmtId="0" fontId="0" fillId="0" borderId="0" xfId="0" applyNumberFormat="1"/>
    <xf numFmtId="0" fontId="0" fillId="4" borderId="0" xfId="0" applyFill="1"/>
    <xf numFmtId="0" fontId="0" fillId="0" borderId="0" xfId="0" applyAlignment="1">
      <alignment vertical="center" wrapText="1"/>
    </xf>
    <xf numFmtId="0" fontId="0" fillId="0" borderId="0" xfId="0" applyNumberFormat="1" applyAlignment="1">
      <alignment horizontal="center"/>
    </xf>
    <xf numFmtId="0" fontId="0" fillId="0" borderId="0" xfId="0" applyFill="1" applyBorder="1" applyAlignment="1"/>
    <xf numFmtId="48" fontId="0" fillId="4" borderId="0" xfId="0" applyNumberFormat="1" applyFill="1"/>
    <xf numFmtId="0" fontId="0" fillId="0" borderId="0" xfId="0" applyFill="1" applyAlignment="1">
      <alignment horizontal="center" vertical="center" wrapText="1"/>
    </xf>
    <xf numFmtId="0" fontId="0" fillId="0" borderId="0" xfId="0" applyAlignment="1">
      <alignment horizontal="right"/>
    </xf>
    <xf numFmtId="48" fontId="0" fillId="0" borderId="30" xfId="0" applyNumberFormat="1" applyBorder="1"/>
    <xf numFmtId="48" fontId="0" fillId="0" borderId="18" xfId="0" applyNumberFormat="1" applyBorder="1"/>
    <xf numFmtId="48" fontId="0" fillId="0" borderId="31" xfId="0" applyNumberFormat="1" applyBorder="1"/>
    <xf numFmtId="165" fontId="0" fillId="4" borderId="24" xfId="0" applyNumberFormat="1" applyFill="1" applyBorder="1" applyAlignment="1">
      <alignment horizontal="center" vertical="center" wrapText="1"/>
    </xf>
    <xf numFmtId="165" fontId="0" fillId="0" borderId="32" xfId="0" applyNumberFormat="1" applyBorder="1" applyAlignment="1">
      <alignment horizontal="center" vertical="center" wrapText="1"/>
    </xf>
    <xf numFmtId="48" fontId="0" fillId="0" borderId="34" xfId="0" applyNumberFormat="1" applyBorder="1"/>
    <xf numFmtId="48" fontId="0" fillId="0" borderId="35" xfId="0" applyNumberFormat="1" applyBorder="1"/>
    <xf numFmtId="165" fontId="0" fillId="0" borderId="0" xfId="0" applyNumberFormat="1" applyBorder="1"/>
    <xf numFmtId="165" fontId="0" fillId="0" borderId="30" xfId="0" applyNumberFormat="1" applyBorder="1"/>
    <xf numFmtId="0" fontId="0" fillId="0" borderId="19" xfId="0" applyBorder="1"/>
    <xf numFmtId="2" fontId="0" fillId="0" borderId="30" xfId="0" applyNumberFormat="1" applyBorder="1"/>
    <xf numFmtId="48" fontId="0" fillId="0" borderId="39" xfId="0" applyNumberFormat="1" applyBorder="1"/>
    <xf numFmtId="48" fontId="0" fillId="0" borderId="55" xfId="0" applyNumberFormat="1" applyBorder="1"/>
    <xf numFmtId="0" fontId="6" fillId="0" borderId="1" xfId="0" applyFont="1" applyFill="1" applyBorder="1"/>
    <xf numFmtId="48" fontId="0" fillId="0" borderId="40" xfId="0" applyNumberFormat="1" applyBorder="1"/>
    <xf numFmtId="48" fontId="0" fillId="0" borderId="41" xfId="0" applyNumberFormat="1" applyBorder="1"/>
    <xf numFmtId="48" fontId="0" fillId="0" borderId="45" xfId="0" applyNumberFormat="1" applyBorder="1"/>
    <xf numFmtId="48" fontId="0" fillId="0" borderId="36" xfId="0" applyNumberFormat="1" applyBorder="1"/>
    <xf numFmtId="48" fontId="0" fillId="0" borderId="37" xfId="0" applyNumberFormat="1" applyBorder="1"/>
    <xf numFmtId="48" fontId="0" fillId="0" borderId="56" xfId="0" applyNumberFormat="1" applyBorder="1"/>
    <xf numFmtId="48" fontId="0" fillId="0" borderId="49" xfId="0" applyNumberFormat="1" applyBorder="1"/>
    <xf numFmtId="48" fontId="0" fillId="0" borderId="57" xfId="0" applyNumberFormat="1" applyBorder="1"/>
    <xf numFmtId="48" fontId="0" fillId="0" borderId="24" xfId="0" applyNumberFormat="1" applyBorder="1" applyAlignment="1">
      <alignment horizontal="center" vertical="center" wrapText="1"/>
    </xf>
    <xf numFmtId="0" fontId="0" fillId="0" borderId="15" xfId="0" applyFill="1" applyBorder="1" applyAlignment="1"/>
    <xf numFmtId="0" fontId="0" fillId="0" borderId="17" xfId="0" applyFill="1" applyBorder="1" applyAlignment="1"/>
    <xf numFmtId="0" fontId="0" fillId="0" borderId="29" xfId="0" applyFill="1" applyBorder="1" applyAlignment="1"/>
    <xf numFmtId="0" fontId="0" fillId="0" borderId="23" xfId="0" applyFill="1" applyBorder="1" applyAlignment="1"/>
    <xf numFmtId="0" fontId="0" fillId="0" borderId="25" xfId="0" applyBorder="1"/>
    <xf numFmtId="0" fontId="0" fillId="0" borderId="0" xfId="0" applyBorder="1" applyAlignment="1">
      <alignment horizontal="center"/>
    </xf>
    <xf numFmtId="0" fontId="0" fillId="0" borderId="1" xfId="0" applyBorder="1" applyAlignment="1">
      <alignment horizontal="center"/>
    </xf>
    <xf numFmtId="170" fontId="0" fillId="0" borderId="19" xfId="0" applyNumberFormat="1" applyBorder="1"/>
    <xf numFmtId="170" fontId="0" fillId="0" borderId="0" xfId="0" applyNumberFormat="1" applyBorder="1"/>
    <xf numFmtId="170" fontId="0" fillId="0" borderId="30" xfId="0" applyNumberFormat="1" applyBorder="1"/>
    <xf numFmtId="170" fontId="0" fillId="0" borderId="24" xfId="0" applyNumberFormat="1" applyBorder="1"/>
    <xf numFmtId="170" fontId="0" fillId="0" borderId="17" xfId="0" applyNumberFormat="1" applyBorder="1"/>
    <xf numFmtId="170" fontId="0" fillId="0" borderId="29" xfId="0" applyNumberFormat="1"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173" fontId="0" fillId="0" borderId="1" xfId="0" applyNumberFormat="1" applyBorder="1"/>
    <xf numFmtId="166" fontId="0" fillId="0" borderId="0" xfId="0" applyNumberFormat="1" applyBorder="1" applyAlignment="1">
      <alignment horizontal="center"/>
    </xf>
    <xf numFmtId="170" fontId="0" fillId="0" borderId="18" xfId="0" applyNumberFormat="1" applyBorder="1"/>
    <xf numFmtId="170" fontId="0" fillId="0" borderId="31" xfId="0" applyNumberFormat="1" applyBorder="1"/>
    <xf numFmtId="0" fontId="0" fillId="2" borderId="0" xfId="0" applyFill="1" applyBorder="1"/>
    <xf numFmtId="170" fontId="0" fillId="2" borderId="0" xfId="0" applyNumberFormat="1" applyFill="1" applyBorder="1"/>
    <xf numFmtId="14" fontId="11" fillId="8" borderId="0" xfId="2" applyNumberFormat="1"/>
    <xf numFmtId="0" fontId="16" fillId="0" borderId="0" xfId="4"/>
    <xf numFmtId="0" fontId="16" fillId="4" borderId="0" xfId="4" applyFill="1"/>
    <xf numFmtId="0" fontId="16" fillId="0" borderId="0" xfId="4" applyAlignment="1">
      <alignment horizontal="right"/>
    </xf>
    <xf numFmtId="9" fontId="0" fillId="10" borderId="0" xfId="5" applyFont="1" applyFill="1"/>
    <xf numFmtId="0" fontId="16" fillId="10" borderId="0" xfId="4" applyFill="1"/>
    <xf numFmtId="0" fontId="16" fillId="0" borderId="0" xfId="4" applyAlignment="1">
      <alignment horizontal="center"/>
    </xf>
    <xf numFmtId="174" fontId="16" fillId="0" borderId="0" xfId="4" applyNumberFormat="1" applyAlignment="1">
      <alignment horizontal="center"/>
    </xf>
    <xf numFmtId="2" fontId="16" fillId="0" borderId="0" xfId="4" applyNumberFormat="1"/>
    <xf numFmtId="0" fontId="16" fillId="5" borderId="0" xfId="4" applyFill="1" applyAlignment="1">
      <alignment horizontal="center"/>
    </xf>
    <xf numFmtId="0" fontId="0" fillId="0" borderId="17" xfId="0" applyBorder="1" applyAlignment="1"/>
    <xf numFmtId="0" fontId="0" fillId="11" borderId="0" xfId="0" applyFill="1"/>
    <xf numFmtId="0" fontId="0" fillId="9" borderId="32" xfId="0" applyFill="1" applyBorder="1"/>
    <xf numFmtId="0" fontId="0" fillId="2" borderId="32" xfId="0" applyFill="1" applyBorder="1"/>
    <xf numFmtId="14" fontId="11" fillId="0" borderId="0" xfId="2" applyNumberFormat="1" applyFill="1"/>
    <xf numFmtId="0" fontId="0" fillId="0" borderId="0" xfId="0" applyFill="1" applyAlignment="1">
      <alignment horizontal="right"/>
    </xf>
    <xf numFmtId="9" fontId="0" fillId="0" borderId="0" xfId="1" applyFont="1" applyFill="1"/>
    <xf numFmtId="0" fontId="0" fillId="0" borderId="0" xfId="0" applyFill="1" applyAlignment="1">
      <alignment horizontal="center"/>
    </xf>
    <xf numFmtId="174" fontId="0" fillId="0" borderId="0" xfId="0" applyNumberFormat="1" applyFill="1" applyAlignment="1">
      <alignment horizontal="center"/>
    </xf>
    <xf numFmtId="2" fontId="0" fillId="0" borderId="0" xfId="0" applyNumberFormat="1" applyFill="1"/>
    <xf numFmtId="0" fontId="0" fillId="0" borderId="0" xfId="0" applyBorder="1" applyAlignment="1">
      <alignment horizontal="center"/>
    </xf>
    <xf numFmtId="0" fontId="0" fillId="13" borderId="32" xfId="0" applyFill="1" applyBorder="1"/>
    <xf numFmtId="0" fontId="0" fillId="13" borderId="39" xfId="0" applyFill="1" applyBorder="1" applyProtection="1">
      <protection locked="0"/>
    </xf>
    <xf numFmtId="0" fontId="0" fillId="13" borderId="1" xfId="0" applyFill="1" applyBorder="1" applyProtection="1">
      <protection locked="0"/>
    </xf>
    <xf numFmtId="9" fontId="0" fillId="13" borderId="1" xfId="0" applyNumberFormat="1" applyFill="1" applyBorder="1" applyProtection="1">
      <protection locked="0"/>
    </xf>
    <xf numFmtId="9" fontId="0" fillId="13" borderId="9" xfId="0" applyNumberFormat="1" applyFill="1" applyBorder="1" applyProtection="1">
      <protection locked="0"/>
    </xf>
    <xf numFmtId="0" fontId="0" fillId="13" borderId="1" xfId="0" applyFill="1" applyBorder="1"/>
    <xf numFmtId="0" fontId="0" fillId="13" borderId="9" xfId="0" applyFill="1" applyBorder="1" applyProtection="1">
      <protection locked="0"/>
    </xf>
    <xf numFmtId="0" fontId="0" fillId="13" borderId="4" xfId="0" applyFill="1" applyBorder="1" applyProtection="1">
      <protection locked="0"/>
    </xf>
    <xf numFmtId="0" fontId="0" fillId="13" borderId="0" xfId="0" applyFill="1" applyBorder="1"/>
    <xf numFmtId="0" fontId="0" fillId="13" borderId="30" xfId="0" applyFill="1" applyBorder="1"/>
    <xf numFmtId="0" fontId="0" fillId="13" borderId="0" xfId="0" applyFill="1"/>
    <xf numFmtId="0" fontId="0" fillId="3" borderId="0" xfId="0" applyFill="1" applyBorder="1"/>
    <xf numFmtId="0" fontId="12" fillId="2" borderId="0" xfId="0" applyFont="1" applyFill="1" applyAlignment="1">
      <alignment horizontal="left" vertical="center"/>
    </xf>
    <xf numFmtId="0" fontId="17" fillId="11" borderId="0" xfId="0" applyFont="1" applyFill="1" applyAlignment="1">
      <alignment horizontal="left"/>
    </xf>
    <xf numFmtId="0" fontId="0" fillId="7" borderId="30" xfId="0" applyFill="1" applyBorder="1" applyAlignment="1">
      <alignment horizontal="center"/>
    </xf>
    <xf numFmtId="0" fontId="0" fillId="5" borderId="30" xfId="0"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7" borderId="24" xfId="0" applyFill="1" applyBorder="1" applyAlignment="1">
      <alignment horizontal="center"/>
    </xf>
    <xf numFmtId="0" fontId="0" fillId="0" borderId="25" xfId="0" applyBorder="1" applyAlignment="1">
      <alignment horizontal="center"/>
    </xf>
    <xf numFmtId="0" fontId="0" fillId="0" borderId="52" xfId="0" applyBorder="1" applyAlignment="1">
      <alignment horizontal="center"/>
    </xf>
    <xf numFmtId="165" fontId="0" fillId="0" borderId="15" xfId="0" applyNumberFormat="1" applyBorder="1" applyAlignment="1">
      <alignment horizontal="center"/>
    </xf>
    <xf numFmtId="165" fontId="0" fillId="0" borderId="16" xfId="0" applyNumberFormat="1" applyBorder="1" applyAlignment="1">
      <alignment horizontal="center"/>
    </xf>
    <xf numFmtId="165" fontId="0" fillId="0" borderId="0" xfId="0" applyNumberFormat="1" applyAlignment="1">
      <alignment horizontal="center"/>
    </xf>
    <xf numFmtId="0" fontId="0" fillId="0" borderId="54" xfId="0" applyFill="1" applyBorder="1" applyAlignment="1">
      <alignment horizontal="center"/>
    </xf>
    <xf numFmtId="0" fontId="0" fillId="0" borderId="0" xfId="0" applyFill="1" applyBorder="1" applyAlignment="1">
      <alignment horizontal="center"/>
    </xf>
    <xf numFmtId="0" fontId="0" fillId="0" borderId="17" xfId="0" applyFill="1" applyBorder="1" applyAlignment="1">
      <alignment horizontal="center"/>
    </xf>
    <xf numFmtId="0" fontId="0" fillId="0" borderId="1" xfId="0" applyFill="1" applyBorder="1" applyAlignment="1">
      <alignment horizontal="center"/>
    </xf>
    <xf numFmtId="165" fontId="0" fillId="0" borderId="19" xfId="0" applyNumberFormat="1" applyBorder="1" applyAlignment="1">
      <alignment horizontal="center"/>
    </xf>
    <xf numFmtId="0" fontId="0" fillId="6" borderId="0" xfId="0" applyFill="1" applyAlignment="1">
      <alignment horizontal="center"/>
    </xf>
    <xf numFmtId="0" fontId="0" fillId="5" borderId="0" xfId="0" applyFill="1" applyBorder="1" applyAlignment="1">
      <alignment horizontal="left"/>
    </xf>
    <xf numFmtId="0" fontId="0" fillId="5" borderId="15" xfId="0" applyFill="1" applyBorder="1" applyAlignment="1">
      <alignment horizontal="left"/>
    </xf>
    <xf numFmtId="0" fontId="24" fillId="0" borderId="0" xfId="0" applyFont="1" applyAlignment="1">
      <alignment horizontal="left" vertical="center"/>
    </xf>
    <xf numFmtId="0" fontId="6" fillId="0" borderId="0" xfId="0" applyFont="1" applyBorder="1" applyAlignment="1">
      <alignment horizontal="center"/>
    </xf>
    <xf numFmtId="0" fontId="0" fillId="0" borderId="18" xfId="0" applyBorder="1" applyAlignment="1">
      <alignment horizontal="center"/>
    </xf>
    <xf numFmtId="0" fontId="16" fillId="0" borderId="0" xfId="4" applyAlignment="1">
      <alignment horizontal="center"/>
    </xf>
    <xf numFmtId="0" fontId="0" fillId="11" borderId="0" xfId="0" applyFill="1" applyProtection="1">
      <protection locked="0"/>
    </xf>
    <xf numFmtId="0" fontId="18" fillId="2" borderId="15" xfId="0" applyFont="1" applyFill="1" applyBorder="1" applyAlignment="1" applyProtection="1">
      <alignment horizontal="left" vertical="center"/>
      <protection hidden="1"/>
    </xf>
    <xf numFmtId="0" fontId="18" fillId="2" borderId="19" xfId="0" applyFont="1" applyFill="1" applyBorder="1" applyAlignment="1" applyProtection="1">
      <alignment horizontal="left" vertical="center"/>
      <protection hidden="1"/>
    </xf>
    <xf numFmtId="0" fontId="18" fillId="2" borderId="29" xfId="0" applyFont="1" applyFill="1" applyBorder="1" applyAlignment="1" applyProtection="1">
      <alignment horizontal="left" vertical="center"/>
      <protection hidden="1"/>
    </xf>
    <xf numFmtId="0" fontId="18" fillId="2" borderId="30" xfId="0" applyFont="1" applyFill="1" applyBorder="1" applyAlignment="1" applyProtection="1">
      <alignment horizontal="left" vertical="center"/>
      <protection hidden="1"/>
    </xf>
    <xf numFmtId="0" fontId="0" fillId="11" borderId="0" xfId="0" applyFill="1" applyProtection="1">
      <protection hidden="1"/>
    </xf>
    <xf numFmtId="0" fontId="21" fillId="11" borderId="23" xfId="0" applyFont="1" applyFill="1" applyBorder="1" applyAlignment="1" applyProtection="1">
      <alignment horizontal="center"/>
      <protection hidden="1"/>
    </xf>
    <xf numFmtId="0" fontId="21" fillId="11" borderId="24" xfId="0" applyFont="1" applyFill="1" applyBorder="1" applyAlignment="1" applyProtection="1">
      <alignment horizontal="center"/>
      <protection hidden="1"/>
    </xf>
    <xf numFmtId="0" fontId="21" fillId="11" borderId="25" xfId="0" applyFont="1" applyFill="1" applyBorder="1" applyAlignment="1" applyProtection="1">
      <alignment horizontal="center"/>
      <protection hidden="1"/>
    </xf>
    <xf numFmtId="0" fontId="0" fillId="11" borderId="27" xfId="0" applyFill="1" applyBorder="1" applyAlignment="1" applyProtection="1">
      <alignment horizontal="right"/>
      <protection hidden="1"/>
    </xf>
    <xf numFmtId="0" fontId="0" fillId="11" borderId="18" xfId="0" applyFill="1" applyBorder="1" applyProtection="1">
      <protection hidden="1"/>
    </xf>
    <xf numFmtId="0" fontId="17" fillId="11" borderId="0" xfId="0" applyFont="1" applyFill="1" applyAlignment="1" applyProtection="1">
      <alignment horizontal="left"/>
      <protection hidden="1"/>
    </xf>
    <xf numFmtId="0" fontId="0" fillId="11" borderId="6" xfId="0" applyFill="1" applyBorder="1" applyAlignment="1" applyProtection="1">
      <alignment horizontal="right"/>
      <protection hidden="1"/>
    </xf>
    <xf numFmtId="0" fontId="0" fillId="13" borderId="32" xfId="0" applyFill="1" applyBorder="1" applyProtection="1">
      <protection hidden="1"/>
    </xf>
    <xf numFmtId="0" fontId="0" fillId="9" borderId="32" xfId="0" applyFill="1" applyBorder="1" applyProtection="1">
      <protection hidden="1"/>
    </xf>
    <xf numFmtId="0" fontId="0" fillId="2" borderId="32" xfId="0" applyFill="1" applyBorder="1" applyProtection="1">
      <protection hidden="1"/>
    </xf>
    <xf numFmtId="0" fontId="0" fillId="11" borderId="8" xfId="0" applyFill="1" applyBorder="1" applyAlignment="1" applyProtection="1">
      <alignment horizontal="right"/>
      <protection hidden="1"/>
    </xf>
    <xf numFmtId="0" fontId="0" fillId="11" borderId="31" xfId="0" applyFill="1" applyBorder="1" applyProtection="1">
      <protection hidden="1"/>
    </xf>
    <xf numFmtId="0" fontId="2" fillId="11" borderId="0" xfId="0" applyFont="1" applyFill="1" applyBorder="1" applyAlignment="1" applyProtection="1">
      <protection hidden="1"/>
    </xf>
    <xf numFmtId="0" fontId="19" fillId="12" borderId="23" xfId="0" applyFont="1" applyFill="1" applyBorder="1" applyAlignment="1" applyProtection="1">
      <alignment horizontal="left"/>
      <protection hidden="1"/>
    </xf>
    <xf numFmtId="0" fontId="19" fillId="12" borderId="24" xfId="0" applyFont="1" applyFill="1" applyBorder="1" applyAlignment="1" applyProtection="1">
      <alignment horizontal="left"/>
      <protection hidden="1"/>
    </xf>
    <xf numFmtId="0" fontId="19" fillId="12" borderId="25" xfId="0" applyFont="1" applyFill="1" applyBorder="1" applyAlignment="1" applyProtection="1">
      <alignment horizontal="left"/>
      <protection hidden="1"/>
    </xf>
    <xf numFmtId="0" fontId="4" fillId="11" borderId="0" xfId="0" applyFont="1" applyFill="1" applyBorder="1" applyAlignment="1" applyProtection="1">
      <protection hidden="1"/>
    </xf>
    <xf numFmtId="0" fontId="0" fillId="10" borderId="17" xfId="0" applyFont="1" applyFill="1" applyBorder="1" applyAlignment="1" applyProtection="1">
      <alignment horizontal="right"/>
      <protection hidden="1"/>
    </xf>
    <xf numFmtId="0" fontId="4" fillId="10" borderId="0"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1" borderId="0" xfId="0" applyFont="1" applyFill="1" applyBorder="1" applyAlignment="1" applyProtection="1">
      <alignment horizontal="center"/>
      <protection hidden="1"/>
    </xf>
    <xf numFmtId="0" fontId="0" fillId="11" borderId="15" xfId="0" applyFill="1" applyBorder="1" applyAlignment="1" applyProtection="1">
      <alignment horizontal="right"/>
      <protection hidden="1"/>
    </xf>
    <xf numFmtId="0" fontId="0" fillId="11" borderId="4" xfId="0" applyFill="1" applyBorder="1" applyProtection="1">
      <protection hidden="1"/>
    </xf>
    <xf numFmtId="0" fontId="0" fillId="11" borderId="16" xfId="0" applyFill="1" applyBorder="1" applyProtection="1">
      <protection hidden="1"/>
    </xf>
    <xf numFmtId="0" fontId="0" fillId="11" borderId="0" xfId="0" applyFill="1" applyBorder="1" applyProtection="1">
      <protection hidden="1"/>
    </xf>
    <xf numFmtId="0" fontId="0" fillId="11" borderId="17" xfId="0" applyFill="1" applyBorder="1" applyAlignment="1" applyProtection="1">
      <alignment horizontal="right"/>
      <protection hidden="1"/>
    </xf>
    <xf numFmtId="0" fontId="0" fillId="11" borderId="29" xfId="0" applyFill="1" applyBorder="1" applyAlignment="1" applyProtection="1">
      <alignment horizontal="right"/>
      <protection hidden="1"/>
    </xf>
    <xf numFmtId="0" fontId="0" fillId="10" borderId="0" xfId="0" applyFill="1" applyBorder="1" applyProtection="1">
      <protection hidden="1"/>
    </xf>
    <xf numFmtId="0" fontId="0" fillId="10" borderId="18" xfId="0" applyFill="1" applyBorder="1" applyProtection="1">
      <protection hidden="1"/>
    </xf>
    <xf numFmtId="0" fontId="0" fillId="11" borderId="0" xfId="0" applyFill="1" applyBorder="1" applyAlignment="1" applyProtection="1">
      <alignment horizontal="right"/>
      <protection hidden="1"/>
    </xf>
    <xf numFmtId="0" fontId="4" fillId="10" borderId="17" xfId="0" applyFont="1" applyFill="1" applyBorder="1" applyAlignment="1" applyProtection="1">
      <alignment horizontal="right"/>
      <protection hidden="1"/>
    </xf>
    <xf numFmtId="0" fontId="8" fillId="11" borderId="0" xfId="0" applyFont="1" applyFill="1" applyProtection="1">
      <protection hidden="1"/>
    </xf>
    <xf numFmtId="0" fontId="0" fillId="10" borderId="17" xfId="0" applyFill="1" applyBorder="1" applyAlignment="1" applyProtection="1">
      <alignment horizontal="right"/>
      <protection hidden="1"/>
    </xf>
    <xf numFmtId="0" fontId="0" fillId="11" borderId="15" xfId="0"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 xfId="0" applyFill="1" applyBorder="1" applyProtection="1">
      <protection hidden="1"/>
    </xf>
    <xf numFmtId="0" fontId="0" fillId="11" borderId="29" xfId="0" applyFill="1" applyBorder="1" applyAlignment="1" applyProtection="1">
      <alignment horizontal="center"/>
      <protection hidden="1"/>
    </xf>
    <xf numFmtId="0" fontId="0" fillId="11" borderId="9" xfId="0" applyFill="1" applyBorder="1" applyProtection="1">
      <protection hidden="1"/>
    </xf>
    <xf numFmtId="0" fontId="0" fillId="11" borderId="0" xfId="0" applyFill="1" applyBorder="1" applyAlignment="1" applyProtection="1">
      <alignment horizontal="center"/>
      <protection hidden="1"/>
    </xf>
    <xf numFmtId="0" fontId="7" fillId="11" borderId="43" xfId="0" applyFont="1" applyFill="1" applyBorder="1" applyAlignment="1" applyProtection="1">
      <alignment horizontal="center"/>
      <protection hidden="1"/>
    </xf>
    <xf numFmtId="0" fontId="7" fillId="11" borderId="51" xfId="0" applyFont="1" applyFill="1" applyBorder="1" applyAlignment="1" applyProtection="1">
      <alignment horizontal="center"/>
      <protection hidden="1"/>
    </xf>
    <xf numFmtId="0" fontId="7" fillId="11" borderId="44" xfId="0" applyFont="1" applyFill="1" applyBorder="1" applyAlignment="1" applyProtection="1">
      <alignment horizontal="center"/>
      <protection hidden="1"/>
    </xf>
    <xf numFmtId="0" fontId="0" fillId="11" borderId="20" xfId="0" applyFill="1" applyBorder="1" applyAlignment="1" applyProtection="1">
      <alignment horizontal="right"/>
      <protection hidden="1"/>
    </xf>
    <xf numFmtId="0" fontId="0" fillId="11" borderId="58" xfId="0" applyFill="1" applyBorder="1" applyAlignment="1" applyProtection="1">
      <alignment horizontal="right"/>
      <protection hidden="1"/>
    </xf>
    <xf numFmtId="173" fontId="0" fillId="11" borderId="59" xfId="0" applyNumberFormat="1" applyFill="1" applyBorder="1" applyProtection="1">
      <protection hidden="1"/>
    </xf>
    <xf numFmtId="0" fontId="0" fillId="11" borderId="21" xfId="0" applyFill="1" applyBorder="1" applyAlignment="1" applyProtection="1">
      <alignment horizontal="right"/>
      <protection hidden="1"/>
    </xf>
    <xf numFmtId="0" fontId="0" fillId="11" borderId="49" xfId="0" applyFill="1" applyBorder="1" applyAlignment="1" applyProtection="1">
      <alignment horizontal="right"/>
      <protection hidden="1"/>
    </xf>
    <xf numFmtId="173" fontId="0" fillId="11" borderId="47" xfId="0" applyNumberFormat="1" applyFill="1" applyBorder="1" applyProtection="1">
      <protection hidden="1"/>
    </xf>
    <xf numFmtId="0" fontId="0" fillId="11" borderId="22" xfId="0" applyFill="1" applyBorder="1" applyAlignment="1" applyProtection="1">
      <alignment horizontal="right"/>
      <protection hidden="1"/>
    </xf>
    <xf numFmtId="0" fontId="0" fillId="11" borderId="57" xfId="0" applyFill="1" applyBorder="1" applyAlignment="1" applyProtection="1">
      <alignment horizontal="right"/>
      <protection hidden="1"/>
    </xf>
    <xf numFmtId="173" fontId="0" fillId="11" borderId="48" xfId="0" applyNumberFormat="1" applyFill="1" applyBorder="1" applyProtection="1">
      <protection hidden="1"/>
    </xf>
    <xf numFmtId="0" fontId="21" fillId="11" borderId="23" xfId="0" applyFont="1" applyFill="1" applyBorder="1" applyAlignment="1" applyProtection="1">
      <alignment horizontal="center" vertical="top" wrapText="1"/>
      <protection hidden="1"/>
    </xf>
    <xf numFmtId="0" fontId="21" fillId="11" borderId="24" xfId="0" applyFont="1" applyFill="1" applyBorder="1" applyAlignment="1" applyProtection="1">
      <alignment horizontal="center" vertical="top" wrapText="1"/>
      <protection hidden="1"/>
    </xf>
    <xf numFmtId="0" fontId="21" fillId="11" borderId="25" xfId="0" applyFont="1" applyFill="1" applyBorder="1" applyAlignment="1" applyProtection="1">
      <alignment horizontal="center" vertical="top" wrapText="1"/>
      <protection hidden="1"/>
    </xf>
    <xf numFmtId="0" fontId="0" fillId="11" borderId="0" xfId="0" applyFill="1" applyBorder="1" applyAlignment="1" applyProtection="1">
      <alignment wrapText="1"/>
      <protection hidden="1"/>
    </xf>
    <xf numFmtId="0" fontId="23" fillId="11" borderId="0" xfId="0" applyFont="1" applyFill="1" applyBorder="1" applyAlignment="1" applyProtection="1">
      <alignment wrapText="1"/>
      <protection hidden="1"/>
    </xf>
    <xf numFmtId="0" fontId="23" fillId="11" borderId="0" xfId="0" applyFont="1" applyFill="1" applyAlignment="1" applyProtection="1">
      <alignment wrapText="1"/>
      <protection hidden="1"/>
    </xf>
    <xf numFmtId="0" fontId="0" fillId="11" borderId="0" xfId="0" applyFill="1" applyAlignment="1" applyProtection="1">
      <alignment wrapText="1"/>
      <protection hidden="1"/>
    </xf>
    <xf numFmtId="0" fontId="22" fillId="7" borderId="23" xfId="0" applyFont="1" applyFill="1" applyBorder="1" applyAlignment="1" applyProtection="1">
      <alignment horizontal="center" vertical="center"/>
      <protection hidden="1"/>
    </xf>
    <xf numFmtId="0" fontId="22" fillId="7" borderId="24" xfId="0" applyFont="1" applyFill="1" applyBorder="1" applyAlignment="1" applyProtection="1">
      <alignment horizontal="center" vertical="center"/>
      <protection hidden="1"/>
    </xf>
    <xf numFmtId="0" fontId="22" fillId="7" borderId="25" xfId="0" applyFont="1" applyFill="1" applyBorder="1" applyAlignment="1" applyProtection="1">
      <alignment horizontal="center" vertical="center"/>
      <protection hidden="1"/>
    </xf>
    <xf numFmtId="0" fontId="0" fillId="11" borderId="15" xfId="0" applyFill="1" applyBorder="1" applyAlignment="1" applyProtection="1">
      <alignment wrapText="1"/>
      <protection hidden="1"/>
    </xf>
    <xf numFmtId="0" fontId="8" fillId="12" borderId="15" xfId="0" applyFont="1" applyFill="1" applyBorder="1" applyAlignment="1" applyProtection="1">
      <alignment horizontal="center" vertical="center" wrapText="1"/>
      <protection hidden="1"/>
    </xf>
    <xf numFmtId="0" fontId="23" fillId="12" borderId="16" xfId="0" applyFont="1" applyFill="1" applyBorder="1" applyAlignment="1" applyProtection="1">
      <alignment horizontal="center" vertical="center" wrapText="1"/>
      <protection hidden="1"/>
    </xf>
    <xf numFmtId="0" fontId="0" fillId="12" borderId="23" xfId="0" applyFill="1" applyBorder="1" applyAlignment="1" applyProtection="1">
      <alignment horizontal="center" vertical="center" wrapText="1"/>
      <protection hidden="1"/>
    </xf>
    <xf numFmtId="0" fontId="0" fillId="12" borderId="32" xfId="0" applyFill="1" applyBorder="1" applyAlignment="1" applyProtection="1">
      <alignment horizontal="center" vertical="center" wrapText="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0" fillId="11" borderId="60" xfId="0" applyFill="1" applyBorder="1" applyAlignment="1" applyProtection="1">
      <alignment horizontal="center"/>
      <protection hidden="1"/>
    </xf>
    <xf numFmtId="0" fontId="0" fillId="11" borderId="55" xfId="0" applyFill="1" applyBorder="1" applyAlignment="1" applyProtection="1">
      <alignment horizontal="center"/>
      <protection hidden="1"/>
    </xf>
    <xf numFmtId="0" fontId="20" fillId="11" borderId="0" xfId="0" applyFont="1" applyFill="1" applyProtection="1">
      <protection hidden="1"/>
    </xf>
    <xf numFmtId="0" fontId="23" fillId="11" borderId="0" xfId="0" applyFont="1" applyFill="1" applyProtection="1">
      <protection hidden="1"/>
    </xf>
    <xf numFmtId="0" fontId="0" fillId="11" borderId="6" xfId="0" applyFill="1" applyBorder="1" applyAlignment="1" applyProtection="1">
      <alignment horizontal="center"/>
      <protection hidden="1"/>
    </xf>
    <xf numFmtId="0" fontId="0" fillId="11" borderId="7" xfId="0"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11" borderId="47" xfId="0" applyFill="1" applyBorder="1" applyAlignment="1" applyProtection="1">
      <alignment horizontal="center"/>
      <protection hidden="1"/>
    </xf>
    <xf numFmtId="0" fontId="0" fillId="11" borderId="8"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0" fillId="11" borderId="61" xfId="0" applyFill="1" applyBorder="1" applyAlignment="1" applyProtection="1">
      <alignment horizontal="center"/>
      <protection hidden="1"/>
    </xf>
    <xf numFmtId="0" fontId="0" fillId="11" borderId="48" xfId="0" applyFill="1" applyBorder="1" applyAlignment="1" applyProtection="1">
      <alignment horizontal="center"/>
      <protection hidden="1"/>
    </xf>
    <xf numFmtId="0" fontId="0" fillId="11" borderId="0" xfId="0" applyFill="1" applyAlignment="1" applyProtection="1">
      <alignment horizontal="center"/>
      <protection hidden="1"/>
    </xf>
    <xf numFmtId="0" fontId="21" fillId="11" borderId="15" xfId="0" applyFont="1" applyFill="1" applyBorder="1" applyAlignment="1" applyProtection="1">
      <alignment horizontal="center" vertical="center"/>
      <protection hidden="1"/>
    </xf>
    <xf numFmtId="0" fontId="21" fillId="11" borderId="19" xfId="0" applyFont="1" applyFill="1" applyBorder="1" applyAlignment="1" applyProtection="1">
      <alignment horizontal="center" vertical="center"/>
      <protection hidden="1"/>
    </xf>
    <xf numFmtId="0" fontId="21" fillId="11" borderId="16" xfId="0" applyFont="1" applyFill="1" applyBorder="1" applyAlignment="1" applyProtection="1">
      <alignment horizontal="center" vertical="center"/>
      <protection hidden="1"/>
    </xf>
    <xf numFmtId="0" fontId="21" fillId="11" borderId="29" xfId="0" applyFont="1" applyFill="1" applyBorder="1" applyAlignment="1" applyProtection="1">
      <alignment horizontal="center" vertical="center"/>
      <protection hidden="1"/>
    </xf>
    <xf numFmtId="0" fontId="21" fillId="11" borderId="30" xfId="0" applyFont="1" applyFill="1" applyBorder="1" applyAlignment="1" applyProtection="1">
      <alignment horizontal="center" vertical="center"/>
      <protection hidden="1"/>
    </xf>
    <xf numFmtId="0" fontId="21" fillId="11" borderId="31" xfId="0" applyFont="1" applyFill="1" applyBorder="1" applyAlignment="1" applyProtection="1">
      <alignment horizontal="center" vertical="center"/>
      <protection hidden="1"/>
    </xf>
    <xf numFmtId="0" fontId="13" fillId="2" borderId="0" xfId="0" applyFont="1" applyFill="1" applyAlignment="1" applyProtection="1">
      <alignment horizontal="left"/>
      <protection hidden="1"/>
    </xf>
    <xf numFmtId="0" fontId="22" fillId="7" borderId="0" xfId="0" applyFont="1" applyFill="1" applyAlignment="1" applyProtection="1">
      <alignment horizontal="center"/>
      <protection hidden="1"/>
    </xf>
    <xf numFmtId="0" fontId="15" fillId="11" borderId="0" xfId="3" applyFill="1" applyProtection="1">
      <protection hidden="1"/>
    </xf>
    <xf numFmtId="0" fontId="17" fillId="11" borderId="23" xfId="0" applyFont="1" applyFill="1" applyBorder="1" applyAlignment="1" applyProtection="1">
      <alignment horizontal="center"/>
      <protection hidden="1"/>
    </xf>
    <xf numFmtId="0" fontId="17" fillId="11" borderId="25" xfId="0" applyFont="1" applyFill="1" applyBorder="1" applyAlignment="1" applyProtection="1">
      <alignment horizontal="center"/>
      <protection hidden="1"/>
    </xf>
    <xf numFmtId="0" fontId="0" fillId="11" borderId="23" xfId="0" applyFill="1" applyBorder="1" applyProtection="1">
      <protection hidden="1"/>
    </xf>
    <xf numFmtId="0" fontId="17" fillId="11" borderId="24" xfId="0" applyFont="1" applyFill="1" applyBorder="1"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15" xfId="0" applyFill="1" applyBorder="1" applyProtection="1">
      <protection hidden="1"/>
    </xf>
    <xf numFmtId="165" fontId="0" fillId="11" borderId="4" xfId="0" applyNumberFormat="1" applyFill="1" applyBorder="1" applyProtection="1">
      <protection hidden="1"/>
    </xf>
    <xf numFmtId="0" fontId="0" fillId="11" borderId="19" xfId="0" applyFill="1" applyBorder="1" applyProtection="1">
      <protection hidden="1"/>
    </xf>
    <xf numFmtId="0" fontId="0" fillId="11" borderId="17" xfId="0" applyFill="1" applyBorder="1" applyProtection="1">
      <protection hidden="1"/>
    </xf>
    <xf numFmtId="165" fontId="0" fillId="11" borderId="1" xfId="0" applyNumberFormat="1" applyFill="1" applyBorder="1" applyProtection="1">
      <protection hidden="1"/>
    </xf>
    <xf numFmtId="0" fontId="0" fillId="11" borderId="29" xfId="0" applyFill="1" applyBorder="1" applyProtection="1">
      <protection hidden="1"/>
    </xf>
    <xf numFmtId="165" fontId="0" fillId="11" borderId="9" xfId="0" applyNumberFormat="1" applyFill="1" applyBorder="1" applyProtection="1">
      <protection hidden="1"/>
    </xf>
    <xf numFmtId="0" fontId="0" fillId="11" borderId="30" xfId="0" applyFill="1" applyBorder="1" applyProtection="1">
      <protection hidden="1"/>
    </xf>
    <xf numFmtId="0" fontId="17" fillId="11" borderId="24" xfId="0" applyFont="1" applyFill="1" applyBorder="1" applyAlignment="1" applyProtection="1">
      <alignment horizontal="center"/>
      <protection hidden="1"/>
    </xf>
    <xf numFmtId="2" fontId="0" fillId="11" borderId="4" xfId="0" applyNumberFormat="1" applyFill="1" applyBorder="1" applyProtection="1">
      <protection hidden="1"/>
    </xf>
    <xf numFmtId="0" fontId="17" fillId="11" borderId="23" xfId="0" applyFont="1" applyFill="1" applyBorder="1" applyProtection="1">
      <protection hidden="1"/>
    </xf>
    <xf numFmtId="0" fontId="0" fillId="11" borderId="5" xfId="0" applyFill="1" applyBorder="1" applyProtection="1">
      <protection hidden="1"/>
    </xf>
    <xf numFmtId="0" fontId="0" fillId="11" borderId="7" xfId="0" applyFill="1" applyBorder="1" applyProtection="1">
      <protection hidden="1"/>
    </xf>
    <xf numFmtId="0" fontId="0" fillId="11" borderId="10" xfId="0" applyFill="1" applyBorder="1" applyProtection="1">
      <protection hidden="1"/>
    </xf>
    <xf numFmtId="165" fontId="0" fillId="11" borderId="0" xfId="0" applyNumberFormat="1" applyFill="1" applyBorder="1" applyProtection="1">
      <protection hidden="1"/>
    </xf>
    <xf numFmtId="173" fontId="0" fillId="11" borderId="4" xfId="0" applyNumberFormat="1" applyFill="1" applyBorder="1" applyAlignment="1" applyProtection="1">
      <alignment horizontal="center"/>
      <protection hidden="1"/>
    </xf>
    <xf numFmtId="173" fontId="0" fillId="11" borderId="5" xfId="0" applyNumberFormat="1" applyFill="1" applyBorder="1" applyAlignment="1" applyProtection="1">
      <alignment horizontal="center"/>
      <protection hidden="1"/>
    </xf>
    <xf numFmtId="173" fontId="0" fillId="11" borderId="1" xfId="0" applyNumberFormat="1" applyFill="1" applyBorder="1" applyAlignment="1" applyProtection="1">
      <alignment horizontal="center"/>
      <protection hidden="1"/>
    </xf>
    <xf numFmtId="173" fontId="0" fillId="11" borderId="7" xfId="0" applyNumberFormat="1" applyFill="1" applyBorder="1" applyAlignment="1" applyProtection="1">
      <alignment horizontal="center"/>
      <protection hidden="1"/>
    </xf>
    <xf numFmtId="0" fontId="0" fillId="11" borderId="29" xfId="0" applyFill="1" applyBorder="1" applyAlignment="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0" fontId="0" fillId="13" borderId="30" xfId="0" applyFill="1" applyBorder="1" applyProtection="1">
      <protection hidden="1"/>
    </xf>
    <xf numFmtId="0" fontId="0" fillId="11" borderId="0" xfId="0" applyFill="1" applyBorder="1" applyAlignment="1" applyProtection="1">
      <alignment horizontal="center"/>
      <protection hidden="1"/>
    </xf>
    <xf numFmtId="2" fontId="0" fillId="11" borderId="0" xfId="0" applyNumberFormat="1" applyFill="1" applyBorder="1" applyProtection="1">
      <protection hidden="1"/>
    </xf>
    <xf numFmtId="0" fontId="0" fillId="11" borderId="41" xfId="0" applyFill="1" applyBorder="1" applyProtection="1">
      <protection hidden="1"/>
    </xf>
    <xf numFmtId="165" fontId="0" fillId="11" borderId="17" xfId="0" applyNumberFormat="1" applyFill="1" applyBorder="1" applyProtection="1">
      <protection hidden="1"/>
    </xf>
    <xf numFmtId="0" fontId="0" fillId="13" borderId="9" xfId="0" applyFill="1" applyBorder="1" applyAlignment="1" applyProtection="1">
      <alignment horizontal="center"/>
      <protection locked="0"/>
    </xf>
    <xf numFmtId="0" fontId="0" fillId="13" borderId="10" xfId="0" applyFill="1" applyBorder="1" applyAlignment="1" applyProtection="1">
      <alignment horizontal="center"/>
      <protection locked="0"/>
    </xf>
    <xf numFmtId="0" fontId="0" fillId="13" borderId="30" xfId="0" applyFill="1" applyBorder="1" applyProtection="1">
      <protection locked="0"/>
    </xf>
    <xf numFmtId="0" fontId="0" fillId="13" borderId="41" xfId="0" applyFill="1" applyBorder="1" applyProtection="1">
      <protection locked="0"/>
    </xf>
    <xf numFmtId="165" fontId="0" fillId="13" borderId="17" xfId="0" applyNumberFormat="1" applyFill="1" applyBorder="1" applyProtection="1">
      <protection locked="0"/>
    </xf>
    <xf numFmtId="0" fontId="0" fillId="13" borderId="29" xfId="0" applyFill="1" applyBorder="1" applyProtection="1">
      <protection locked="0"/>
    </xf>
    <xf numFmtId="0" fontId="15" fillId="11" borderId="0" xfId="3" applyFill="1" applyBorder="1" applyProtection="1">
      <protection hidden="1"/>
    </xf>
    <xf numFmtId="0" fontId="0" fillId="11" borderId="23" xfId="0" applyFill="1" applyBorder="1" applyAlignment="1" applyProtection="1">
      <alignment horizontal="center"/>
      <protection hidden="1"/>
    </xf>
    <xf numFmtId="0" fontId="0" fillId="11" borderId="24"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0" xfId="0" applyFill="1" applyBorder="1" applyAlignment="1" applyProtection="1">
      <protection hidden="1"/>
    </xf>
    <xf numFmtId="173" fontId="0" fillId="11" borderId="16" xfId="0" applyNumberFormat="1" applyFill="1" applyBorder="1" applyProtection="1">
      <protection hidden="1"/>
    </xf>
    <xf numFmtId="173" fontId="0" fillId="11" borderId="0" xfId="0" applyNumberFormat="1" applyFill="1" applyBorder="1" applyProtection="1">
      <protection hidden="1"/>
    </xf>
    <xf numFmtId="173" fontId="0" fillId="11" borderId="18" xfId="0" applyNumberFormat="1" applyFill="1" applyBorder="1" applyProtection="1">
      <protection hidden="1"/>
    </xf>
    <xf numFmtId="2" fontId="0" fillId="11" borderId="39" xfId="0" applyNumberFormat="1" applyFill="1" applyBorder="1" applyProtection="1">
      <protection hidden="1"/>
    </xf>
    <xf numFmtId="0" fontId="0" fillId="11" borderId="28" xfId="0" applyFill="1" applyBorder="1" applyProtection="1">
      <protection hidden="1"/>
    </xf>
    <xf numFmtId="0" fontId="0" fillId="11" borderId="0" xfId="0" applyFill="1" applyAlignment="1" applyProtection="1">
      <alignment horizontal="center"/>
      <protection hidden="1"/>
    </xf>
    <xf numFmtId="0" fontId="0" fillId="13" borderId="0" xfId="0" applyFill="1" applyBorder="1" applyProtection="1">
      <protection hidden="1"/>
    </xf>
    <xf numFmtId="0" fontId="0" fillId="13" borderId="19" xfId="0" applyFill="1" applyBorder="1" applyProtection="1">
      <protection hidden="1"/>
    </xf>
    <xf numFmtId="165" fontId="0" fillId="11" borderId="30" xfId="0" applyNumberFormat="1" applyFill="1" applyBorder="1" applyProtection="1">
      <protection hidden="1"/>
    </xf>
    <xf numFmtId="0" fontId="0" fillId="13" borderId="31" xfId="0" applyFill="1" applyBorder="1" applyProtection="1">
      <protection locked="0"/>
    </xf>
    <xf numFmtId="0" fontId="0" fillId="11" borderId="24"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23" xfId="0" applyFill="1" applyBorder="1" applyAlignment="1" applyProtection="1">
      <alignment horizontal="center"/>
      <protection hidden="1"/>
    </xf>
    <xf numFmtId="2" fontId="0" fillId="11" borderId="1" xfId="0" applyNumberFormat="1" applyFill="1" applyBorder="1" applyProtection="1">
      <protection hidden="1"/>
    </xf>
    <xf numFmtId="2" fontId="0" fillId="11" borderId="9" xfId="0" applyNumberFormat="1" applyFill="1" applyBorder="1" applyProtection="1">
      <protection hidden="1"/>
    </xf>
    <xf numFmtId="0" fontId="0" fillId="11" borderId="39" xfId="0" applyFill="1" applyBorder="1" applyAlignment="1" applyProtection="1">
      <alignment horizontal="center"/>
      <protection hidden="1"/>
    </xf>
    <xf numFmtId="0" fontId="0" fillId="11" borderId="28" xfId="0" applyFill="1" applyBorder="1" applyAlignment="1" applyProtection="1">
      <alignment horizontal="center"/>
      <protection hidden="1"/>
    </xf>
    <xf numFmtId="0" fontId="0" fillId="11" borderId="1" xfId="0" applyFill="1" applyBorder="1" applyAlignment="1" applyProtection="1">
      <alignment horizontal="center"/>
      <protection hidden="1"/>
    </xf>
    <xf numFmtId="0" fontId="0" fillId="11" borderId="9" xfId="0" applyFill="1" applyBorder="1" applyAlignment="1" applyProtection="1">
      <alignment horizontal="center"/>
      <protection hidden="1"/>
    </xf>
    <xf numFmtId="2" fontId="0" fillId="11" borderId="30" xfId="0" applyNumberFormat="1" applyFill="1" applyBorder="1" applyProtection="1">
      <protection hidden="1"/>
    </xf>
    <xf numFmtId="0" fontId="0" fillId="11" borderId="27" xfId="0" applyFill="1" applyBorder="1" applyProtection="1">
      <protection hidden="1"/>
    </xf>
    <xf numFmtId="0" fontId="0" fillId="11" borderId="6" xfId="0" applyFill="1" applyBorder="1" applyProtection="1">
      <protection hidden="1"/>
    </xf>
    <xf numFmtId="0" fontId="6" fillId="11" borderId="7" xfId="0" applyFont="1" applyFill="1" applyBorder="1" applyProtection="1">
      <protection hidden="1"/>
    </xf>
    <xf numFmtId="0" fontId="0" fillId="11" borderId="8" xfId="0" applyFill="1" applyBorder="1" applyProtection="1">
      <protection hidden="1"/>
    </xf>
    <xf numFmtId="0" fontId="0" fillId="11" borderId="39" xfId="0" applyFill="1" applyBorder="1" applyProtection="1">
      <protection hidden="1"/>
    </xf>
    <xf numFmtId="0" fontId="0" fillId="11" borderId="3" xfId="0" applyFill="1" applyBorder="1" applyProtection="1">
      <protection hidden="1"/>
    </xf>
    <xf numFmtId="0" fontId="0" fillId="11" borderId="30" xfId="0" applyFill="1" applyBorder="1" applyAlignment="1" applyProtection="1">
      <alignment horizontal="center"/>
      <protection hidden="1"/>
    </xf>
    <xf numFmtId="0" fontId="6" fillId="11" borderId="18" xfId="0" applyFont="1" applyFill="1" applyBorder="1" applyProtection="1">
      <protection hidden="1"/>
    </xf>
    <xf numFmtId="0" fontId="6" fillId="11" borderId="31" xfId="0" applyFont="1" applyFill="1" applyBorder="1" applyProtection="1">
      <protection hidden="1"/>
    </xf>
    <xf numFmtId="0" fontId="6" fillId="11" borderId="0" xfId="0" applyFont="1" applyFill="1" applyBorder="1" applyProtection="1">
      <protection hidden="1"/>
    </xf>
    <xf numFmtId="165" fontId="0" fillId="11" borderId="19" xfId="0" applyNumberFormat="1" applyFill="1" applyBorder="1" applyProtection="1">
      <protection hidden="1"/>
    </xf>
    <xf numFmtId="0" fontId="6" fillId="11" borderId="16" xfId="0" applyFont="1" applyFill="1" applyBorder="1" applyProtection="1">
      <protection hidden="1"/>
    </xf>
    <xf numFmtId="2" fontId="0" fillId="11" borderId="19" xfId="0" applyNumberFormat="1" applyFill="1" applyBorder="1" applyProtection="1">
      <protection hidden="1"/>
    </xf>
    <xf numFmtId="0" fontId="0" fillId="11" borderId="19" xfId="0" applyFill="1" applyBorder="1" applyAlignment="1" applyProtection="1">
      <alignment horizontal="center"/>
      <protection hidden="1"/>
    </xf>
    <xf numFmtId="0" fontId="0" fillId="11" borderId="15" xfId="0" applyFill="1" applyBorder="1" applyAlignment="1" applyProtection="1">
      <alignment horizontal="left"/>
      <protection hidden="1"/>
    </xf>
    <xf numFmtId="0" fontId="0" fillId="11" borderId="19" xfId="0" applyFill="1" applyBorder="1" applyAlignment="1" applyProtection="1">
      <alignment horizontal="right"/>
      <protection hidden="1"/>
    </xf>
    <xf numFmtId="0" fontId="0" fillId="11" borderId="16" xfId="0" applyFill="1" applyBorder="1" applyAlignment="1" applyProtection="1">
      <alignment horizontal="center"/>
      <protection hidden="1"/>
    </xf>
    <xf numFmtId="0" fontId="0" fillId="11" borderId="0" xfId="0" applyFill="1" applyAlignment="1" applyProtection="1">
      <alignment horizontal="left"/>
      <protection hidden="1"/>
    </xf>
    <xf numFmtId="0" fontId="0" fillId="13" borderId="19" xfId="0" applyFill="1" applyBorder="1" applyProtection="1">
      <protection locked="0"/>
    </xf>
    <xf numFmtId="0" fontId="0" fillId="13" borderId="0" xfId="0" applyFill="1" applyBorder="1" applyProtection="1">
      <protection locked="0"/>
    </xf>
    <xf numFmtId="165" fontId="0" fillId="13" borderId="1" xfId="0" applyNumberFormat="1" applyFill="1" applyBorder="1" applyProtection="1">
      <protection locked="0"/>
    </xf>
    <xf numFmtId="0" fontId="13" fillId="2" borderId="0" xfId="0" applyFont="1" applyFill="1" applyAlignment="1" applyProtection="1">
      <alignment horizontal="left" vertical="center"/>
      <protection hidden="1"/>
    </xf>
    <xf numFmtId="0" fontId="0" fillId="11" borderId="23" xfId="0" applyFill="1" applyBorder="1" applyAlignment="1" applyProtection="1">
      <protection hidden="1"/>
    </xf>
    <xf numFmtId="0" fontId="0" fillId="11" borderId="25" xfId="0" applyFill="1" applyBorder="1" applyAlignment="1" applyProtection="1">
      <protection hidden="1"/>
    </xf>
    <xf numFmtId="165" fontId="0" fillId="11" borderId="39" xfId="0" applyNumberFormat="1" applyFill="1" applyBorder="1" applyProtection="1">
      <protection hidden="1"/>
    </xf>
    <xf numFmtId="0" fontId="0" fillId="11" borderId="24" xfId="0" applyFill="1" applyBorder="1" applyAlignment="1" applyProtection="1">
      <protection hidden="1"/>
    </xf>
    <xf numFmtId="0" fontId="0" fillId="11" borderId="32" xfId="0" applyFill="1" applyBorder="1" applyProtection="1">
      <protection hidden="1"/>
    </xf>
    <xf numFmtId="0" fontId="0" fillId="11" borderId="4" xfId="0" applyFill="1" applyBorder="1" applyAlignment="1" applyProtection="1">
      <alignment horizontal="center"/>
      <protection hidden="1"/>
    </xf>
    <xf numFmtId="166" fontId="0" fillId="11" borderId="1" xfId="0" applyNumberFormat="1" applyFill="1" applyBorder="1" applyProtection="1">
      <protection hidden="1"/>
    </xf>
    <xf numFmtId="0" fontId="0" fillId="13" borderId="51" xfId="0" applyFill="1" applyBorder="1" applyProtection="1">
      <protection locked="0"/>
    </xf>
    <xf numFmtId="0" fontId="0" fillId="13" borderId="26" xfId="0" applyFill="1" applyBorder="1" applyAlignment="1" applyProtection="1">
      <alignment horizontal="center"/>
      <protection locked="0"/>
    </xf>
    <xf numFmtId="0" fontId="0" fillId="13" borderId="57" xfId="0" applyFill="1" applyBorder="1" applyAlignment="1" applyProtection="1">
      <alignment horizontal="center"/>
      <protection locked="0"/>
    </xf>
  </cellXfs>
  <cellStyles count="6">
    <cellStyle name="Good" xfId="2" builtinId="26"/>
    <cellStyle name="Hyperlink" xfId="3" builtinId="8"/>
    <cellStyle name="Normal" xfId="0" builtinId="0"/>
    <cellStyle name="Normal 2" xfId="4"/>
    <cellStyle name="Percent" xfId="1" builtinId="5"/>
    <cellStyle name="Percent 2" xfId="5"/>
  </cellStyles>
  <dxfs count="16">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Selected Turns Ratio</a:t>
            </a:r>
            <a:endParaRPr lang="en-US"/>
          </a:p>
        </c:rich>
      </c:tx>
      <c:layout/>
      <c:overlay val="0"/>
    </c:title>
    <c:autoTitleDeleted val="0"/>
    <c:plotArea>
      <c:layout>
        <c:manualLayout>
          <c:layoutTarget val="inner"/>
          <c:xMode val="edge"/>
          <c:yMode val="edge"/>
          <c:x val="0.1366544901769747"/>
          <c:y val="0.14595060372916444"/>
          <c:w val="0.66476075896977127"/>
          <c:h val="0.76715500312721052"/>
        </c:manualLayout>
      </c:layout>
      <c:barChart>
        <c:barDir val="col"/>
        <c:grouping val="clustered"/>
        <c:varyColors val="0"/>
        <c:ser>
          <c:idx val="0"/>
          <c:order val="0"/>
          <c:tx>
            <c:v>Fly-Buck</c:v>
          </c:tx>
          <c:invertIfNegative val="0"/>
          <c:cat>
            <c:strLit>
              <c:ptCount val="6"/>
              <c:pt idx="0">
                <c:v>Vout1</c:v>
              </c:pt>
              <c:pt idx="1">
                <c:v>Vout2</c:v>
              </c:pt>
              <c:pt idx="2">
                <c:v>Vout3</c:v>
              </c:pt>
              <c:pt idx="3">
                <c:v>Vout4</c:v>
              </c:pt>
              <c:pt idx="4">
                <c:v>Vout5</c:v>
              </c:pt>
              <c:pt idx="5">
                <c:v>Vout6</c:v>
              </c:pt>
            </c:strLit>
          </c:cat>
          <c:val>
            <c:numRef>
              <c:f>'Fly-Buck'!$B$15:$B$20</c:f>
              <c:numCache>
                <c:formatCode>0.000</c:formatCode>
                <c:ptCount val="6"/>
                <c:pt idx="0">
                  <c:v>1.06</c:v>
                </c:pt>
                <c:pt idx="1">
                  <c:v>1.06</c:v>
                </c:pt>
                <c:pt idx="2">
                  <c:v>0</c:v>
                </c:pt>
                <c:pt idx="3">
                  <c:v>0</c:v>
                </c:pt>
                <c:pt idx="4">
                  <c:v>0</c:v>
                </c:pt>
                <c:pt idx="5">
                  <c:v>0</c:v>
                </c:pt>
              </c:numCache>
            </c:numRef>
          </c:val>
        </c:ser>
        <c:ser>
          <c:idx val="1"/>
          <c:order val="1"/>
          <c:tx>
            <c:v>Fly-Buck-Boost</c:v>
          </c:tx>
          <c:invertIfNegative val="0"/>
          <c:cat>
            <c:strLit>
              <c:ptCount val="6"/>
              <c:pt idx="0">
                <c:v>Vout1</c:v>
              </c:pt>
              <c:pt idx="1">
                <c:v>Vout2</c:v>
              </c:pt>
              <c:pt idx="2">
                <c:v>Vout3</c:v>
              </c:pt>
              <c:pt idx="3">
                <c:v>Vout4</c:v>
              </c:pt>
              <c:pt idx="4">
                <c:v>Vout5</c:v>
              </c:pt>
              <c:pt idx="5">
                <c:v>Vout6</c:v>
              </c:pt>
            </c:strLit>
          </c:cat>
          <c:val>
            <c:numRef>
              <c:f>'Fly-Buck-Boost'!$B$15:$B$20</c:f>
              <c:numCache>
                <c:formatCode>0.000</c:formatCode>
                <c:ptCount val="6"/>
                <c:pt idx="0">
                  <c:v>0.58888888888888891</c:v>
                </c:pt>
                <c:pt idx="1">
                  <c:v>0.58888888888888891</c:v>
                </c:pt>
                <c:pt idx="2">
                  <c:v>0</c:v>
                </c:pt>
                <c:pt idx="3">
                  <c:v>0</c:v>
                </c:pt>
                <c:pt idx="4">
                  <c:v>0</c:v>
                </c:pt>
                <c:pt idx="5">
                  <c:v>0</c:v>
                </c:pt>
              </c:numCache>
            </c:numRef>
          </c:val>
        </c:ser>
        <c:ser>
          <c:idx val="2"/>
          <c:order val="2"/>
          <c:tx>
            <c:v>Flyback</c:v>
          </c:tx>
          <c:invertIfNegative val="0"/>
          <c:cat>
            <c:strLit>
              <c:ptCount val="6"/>
              <c:pt idx="0">
                <c:v>Vout1</c:v>
              </c:pt>
              <c:pt idx="1">
                <c:v>Vout2</c:v>
              </c:pt>
              <c:pt idx="2">
                <c:v>Vout3</c:v>
              </c:pt>
              <c:pt idx="3">
                <c:v>Vout4</c:v>
              </c:pt>
              <c:pt idx="4">
                <c:v>Vout5</c:v>
              </c:pt>
              <c:pt idx="5">
                <c:v>Vout6</c:v>
              </c:pt>
            </c:strLit>
          </c:cat>
          <c:val>
            <c:numRef>
              <c:f>'Flyback CCM'!$B$16:$B$21</c:f>
              <c:numCache>
                <c:formatCode>0.000</c:formatCode>
                <c:ptCount val="6"/>
                <c:pt idx="0">
                  <c:v>0.58888888888888891</c:v>
                </c:pt>
                <c:pt idx="1">
                  <c:v>0.58899999999999997</c:v>
                </c:pt>
                <c:pt idx="2">
                  <c:v>0</c:v>
                </c:pt>
                <c:pt idx="3">
                  <c:v>0</c:v>
                </c:pt>
                <c:pt idx="4">
                  <c:v>0</c:v>
                </c:pt>
                <c:pt idx="5">
                  <c:v>0</c:v>
                </c:pt>
              </c:numCache>
            </c:numRef>
          </c:val>
        </c:ser>
        <c:dLbls>
          <c:showLegendKey val="0"/>
          <c:showVal val="0"/>
          <c:showCatName val="0"/>
          <c:showSerName val="0"/>
          <c:showPercent val="0"/>
          <c:showBubbleSize val="0"/>
        </c:dLbls>
        <c:gapWidth val="150"/>
        <c:axId val="180275840"/>
        <c:axId val="180289920"/>
      </c:barChart>
      <c:catAx>
        <c:axId val="180275840"/>
        <c:scaling>
          <c:orientation val="minMax"/>
        </c:scaling>
        <c:delete val="0"/>
        <c:axPos val="b"/>
        <c:majorTickMark val="out"/>
        <c:minorTickMark val="none"/>
        <c:tickLblPos val="nextTo"/>
        <c:crossAx val="180289920"/>
        <c:crosses val="autoZero"/>
        <c:auto val="1"/>
        <c:lblAlgn val="ctr"/>
        <c:lblOffset val="100"/>
        <c:noMultiLvlLbl val="0"/>
      </c:catAx>
      <c:valAx>
        <c:axId val="180289920"/>
        <c:scaling>
          <c:orientation val="minMax"/>
        </c:scaling>
        <c:delete val="0"/>
        <c:axPos val="l"/>
        <c:majorGridlines/>
        <c:title>
          <c:tx>
            <c:rich>
              <a:bodyPr rot="-5400000" vert="horz"/>
              <a:lstStyle/>
              <a:p>
                <a:pPr>
                  <a:defRPr/>
                </a:pPr>
                <a:r>
                  <a:rPr lang="en-US"/>
                  <a:t>Ns/Np</a:t>
                </a:r>
              </a:p>
            </c:rich>
          </c:tx>
          <c:layout/>
          <c:overlay val="0"/>
        </c:title>
        <c:numFmt formatCode="0.000" sourceLinked="1"/>
        <c:majorTickMark val="out"/>
        <c:minorTickMark val="none"/>
        <c:tickLblPos val="nextTo"/>
        <c:crossAx val="1802758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'Fly-Buck_Calc'!$V$4:$V$54</c:f>
              <c:numCache>
                <c:formatCode>General</c:formatCode>
                <c:ptCount val="51"/>
                <c:pt idx="0">
                  <c:v>0.8290422876600072</c:v>
                </c:pt>
                <c:pt idx="1">
                  <c:v>0.79546985497810374</c:v>
                </c:pt>
                <c:pt idx="2">
                  <c:v>0.76568377364543161</c:v>
                </c:pt>
                <c:pt idx="3">
                  <c:v>0.73902005628388834</c:v>
                </c:pt>
                <c:pt idx="4">
                  <c:v>0.71496745449389698</c:v>
                </c:pt>
                <c:pt idx="5">
                  <c:v>0.69312497165893505</c:v>
                </c:pt>
                <c:pt idx="6">
                  <c:v>0.67317300770413457</c:v>
                </c:pt>
                <c:pt idx="7">
                  <c:v>0.65485324291777891</c:v>
                </c:pt>
                <c:pt idx="8">
                  <c:v>0.63795429131508363</c:v>
                </c:pt>
                <c:pt idx="9">
                  <c:v>0.62230126206238756</c:v>
                </c:pt>
                <c:pt idx="10">
                  <c:v>0.60774802857463484</c:v>
                </c:pt>
                <c:pt idx="11">
                  <c:v>0.59417141163245701</c:v>
                </c:pt>
                <c:pt idx="12">
                  <c:v>0.58146673999360843</c:v>
                </c:pt>
                <c:pt idx="13">
                  <c:v>0.56954441850652082</c:v>
                </c:pt>
                <c:pt idx="14">
                  <c:v>0.55832724395858258</c:v>
                </c:pt>
                <c:pt idx="15">
                  <c:v>0.54774828329101088</c:v>
                </c:pt>
                <c:pt idx="16">
                  <c:v>0.53774917993081306</c:v>
                </c:pt>
                <c:pt idx="17">
                  <c:v>0.52827878968713904</c:v>
                </c:pt>
                <c:pt idx="18">
                  <c:v>0.51929207295960422</c:v>
                </c:pt>
                <c:pt idx="19">
                  <c:v>0.51074918818416915</c:v>
                </c:pt>
                <c:pt idx="20">
                  <c:v>0.50261474466829958</c:v>
                </c:pt>
                <c:pt idx="21">
                  <c:v>0.49485718270311113</c:v>
                </c:pt>
                <c:pt idx="22">
                  <c:v>0.48744825608490733</c:v>
                </c:pt>
                <c:pt idx="23">
                  <c:v>0.48036259762400491</c:v>
                </c:pt>
                <c:pt idx="24">
                  <c:v>0.47357735235044851</c:v>
                </c:pt>
                <c:pt idx="25">
                  <c:v>0.46707186628880437</c:v>
                </c:pt>
                <c:pt idx="26">
                  <c:v>0.46082742111502523</c:v>
                </c:pt>
                <c:pt idx="27">
                  <c:v>0.4548270069067698</c:v>
                </c:pt>
                <c:pt idx="28">
                  <c:v>0.44905512668589359</c:v>
                </c:pt>
                <c:pt idx="29">
                  <c:v>0.44349762762512035</c:v>
                </c:pt>
                <c:pt idx="30">
                  <c:v>0.43814155472252758</c:v>
                </c:pt>
                <c:pt idx="31">
                  <c:v>0.43297502349174155</c:v>
                </c:pt>
                <c:pt idx="32">
                  <c:v>0.42798710881381297</c:v>
                </c:pt>
                <c:pt idx="33">
                  <c:v>0.42316774758000036</c:v>
                </c:pt>
                <c:pt idx="34">
                  <c:v>0.41850765314722332</c:v>
                </c:pt>
                <c:pt idx="35">
                  <c:v>0.41399823994840129</c:v>
                </c:pt>
                <c:pt idx="36">
                  <c:v>0.40963155686273683</c:v>
                </c:pt>
                <c:pt idx="37">
                  <c:v>0.40540022816758031</c:v>
                </c:pt>
                <c:pt idx="38">
                  <c:v>0.40129740107275336</c:v>
                </c:pt>
                <c:pt idx="39">
                  <c:v>0.39731669898714295</c:v>
                </c:pt>
                <c:pt idx="40">
                  <c:v>0.39345217979164726</c:v>
                </c:pt>
                <c:pt idx="41">
                  <c:v>0.38969829849662185</c:v>
                </c:pt>
                <c:pt idx="42">
                  <c:v>0.38604987374944555</c:v>
                </c:pt>
                <c:pt idx="43">
                  <c:v>0.38250205773160945</c:v>
                </c:pt>
                <c:pt idx="44">
                  <c:v>0.37905030904717779</c:v>
                </c:pt>
                <c:pt idx="45">
                  <c:v>0.37569036825747981</c:v>
                </c:pt>
                <c:pt idx="46">
                  <c:v>0.37241823576205413</c:v>
                </c:pt>
                <c:pt idx="47">
                  <c:v>0.36923015176443519</c:v>
                </c:pt>
                <c:pt idx="48">
                  <c:v>0.36612257809441695</c:v>
                </c:pt>
                <c:pt idx="49">
                  <c:v>0.36309218168682061</c:v>
                </c:pt>
                <c:pt idx="50">
                  <c:v>0.36013581954124324</c:v>
                </c:pt>
              </c:numCache>
            </c:numRef>
          </c:yVal>
          <c:smooth val="1"/>
        </c:ser>
        <c:dLbls>
          <c:showLegendKey val="0"/>
          <c:showVal val="0"/>
          <c:showCatName val="0"/>
          <c:showSerName val="0"/>
          <c:showPercent val="0"/>
          <c:showBubbleSize val="0"/>
        </c:dLbls>
        <c:axId val="184666368"/>
        <c:axId val="185094528"/>
      </c:scatterChart>
      <c:valAx>
        <c:axId val="184666368"/>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5094528"/>
        <c:crosses val="autoZero"/>
        <c:crossBetween val="midCat"/>
      </c:valAx>
      <c:valAx>
        <c:axId val="185094528"/>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84666368"/>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'Fly-Buck_Calc'!$CU$4:$CU$54</c:f>
              <c:numCache>
                <c:formatCode>##0.0E+0</c:formatCode>
                <c:ptCount val="51"/>
                <c:pt idx="0">
                  <c:v>0.88581686896666356</c:v>
                </c:pt>
                <c:pt idx="1">
                  <c:v>0.88777155416560649</c:v>
                </c:pt>
                <c:pt idx="2">
                  <c:v>0.88902601213844501</c:v>
                </c:pt>
                <c:pt idx="3">
                  <c:v>0.8897625419739591</c:v>
                </c:pt>
                <c:pt idx="4">
                  <c:v>0.89010838316853957</c:v>
                </c:pt>
                <c:pt idx="5">
                  <c:v>0.89015443925554638</c:v>
                </c:pt>
                <c:pt idx="6">
                  <c:v>0.88996700238115989</c:v>
                </c:pt>
                <c:pt idx="7">
                  <c:v>0.88959530594758707</c:v>
                </c:pt>
                <c:pt idx="8">
                  <c:v>0.88907651403507904</c:v>
                </c:pt>
                <c:pt idx="9">
                  <c:v>0.88843909274401101</c:v>
                </c:pt>
                <c:pt idx="10">
                  <c:v>0.88770513492397862</c:v>
                </c:pt>
                <c:pt idx="11">
                  <c:v>0.88689199288915699</c:v>
                </c:pt>
                <c:pt idx="12">
                  <c:v>0.88601344437422247</c:v>
                </c:pt>
                <c:pt idx="13">
                  <c:v>0.88508053790466612</c:v>
                </c:pt>
                <c:pt idx="14">
                  <c:v>0.8841022143014492</c:v>
                </c:pt>
                <c:pt idx="15">
                  <c:v>0.88308576946779216</c:v>
                </c:pt>
                <c:pt idx="16">
                  <c:v>0.88203720306393474</c:v>
                </c:pt>
                <c:pt idx="17">
                  <c:v>0.88096148407513419</c:v>
                </c:pt>
                <c:pt idx="18">
                  <c:v>0.87986275512712775</c:v>
                </c:pt>
                <c:pt idx="19">
                  <c:v>0.87874449115356001</c:v>
                </c:pt>
                <c:pt idx="20">
                  <c:v>0.87760962369208984</c:v>
                </c:pt>
                <c:pt idx="21">
                  <c:v>0.87646063905012084</c:v>
                </c:pt>
                <c:pt idx="22">
                  <c:v>0.87529965642588559</c:v>
                </c:pt>
                <c:pt idx="23">
                  <c:v>0.87412849052322483</c:v>
                </c:pt>
                <c:pt idx="24">
                  <c:v>0.87294870207567699</c:v>
                </c:pt>
                <c:pt idx="25">
                  <c:v>0.87176163887276648</c:v>
                </c:pt>
                <c:pt idx="26">
                  <c:v>0.87056846927288412</c:v>
                </c:pt>
                <c:pt idx="27">
                  <c:v>0.86937020973311696</c:v>
                </c:pt>
                <c:pt idx="28">
                  <c:v>0.86816774754480974</c:v>
                </c:pt>
                <c:pt idx="29">
                  <c:v>0.86696185970463879</c:v>
                </c:pt>
                <c:pt idx="30">
                  <c:v>0.86575322865313886</c:v>
                </c:pt>
                <c:pt idx="31">
                  <c:v>0.8645424554604294</c:v>
                </c:pt>
                <c:pt idx="32">
                  <c:v>0.86333007092103753</c:v>
                </c:pt>
                <c:pt idx="33">
                  <c:v>0.86211654492786316</c:v>
                </c:pt>
                <c:pt idx="34">
                  <c:v>0.86090229442332533</c:v>
                </c:pt>
                <c:pt idx="35">
                  <c:v>0.85968769016894719</c:v>
                </c:pt>
                <c:pt idx="36">
                  <c:v>0.85847306252961253</c:v>
                </c:pt>
                <c:pt idx="37">
                  <c:v>0.85725870643284574</c:v>
                </c:pt>
                <c:pt idx="38">
                  <c:v>0.85604488563472292</c:v>
                </c:pt>
                <c:pt idx="39">
                  <c:v>0.85483183640088634</c:v>
                </c:pt>
                <c:pt idx="40">
                  <c:v>0.85361977069242734</c:v>
                </c:pt>
                <c:pt idx="41">
                  <c:v>0.85240887893121053</c:v>
                </c:pt>
                <c:pt idx="42">
                  <c:v>0.85119933240682533</c:v>
                </c:pt>
                <c:pt idx="43">
                  <c:v>0.8499912853771987</c:v>
                </c:pt>
                <c:pt idx="44">
                  <c:v>0.84878487690656723</c:v>
                </c:pt>
                <c:pt idx="45">
                  <c:v>0.84758023247762104</c:v>
                </c:pt>
                <c:pt idx="46">
                  <c:v>0.84637746540893544</c:v>
                </c:pt>
                <c:pt idx="47">
                  <c:v>0.84517667810406705</c:v>
                </c:pt>
                <c:pt idx="48">
                  <c:v>0.84397796315474105</c:v>
                </c:pt>
                <c:pt idx="49">
                  <c:v>0.84278140431725945</c:v>
                </c:pt>
                <c:pt idx="50">
                  <c:v>0.84158707737847704</c:v>
                </c:pt>
              </c:numCache>
            </c:numRef>
          </c:yVal>
          <c:smooth val="1"/>
        </c:ser>
        <c:dLbls>
          <c:showLegendKey val="0"/>
          <c:showVal val="0"/>
          <c:showCatName val="0"/>
          <c:showSerName val="0"/>
          <c:showPercent val="0"/>
          <c:showBubbleSize val="0"/>
        </c:dLbls>
        <c:axId val="184820480"/>
        <c:axId val="184822400"/>
      </c:scatterChart>
      <c:valAx>
        <c:axId val="18482048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4822400"/>
        <c:crosses val="autoZero"/>
        <c:crossBetween val="midCat"/>
      </c:valAx>
      <c:valAx>
        <c:axId val="184822400"/>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84820480"/>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'Fly-Buck_Calc'!$CE$4:$CE$54</c:f>
              <c:numCache>
                <c:formatCode>General</c:formatCode>
                <c:ptCount val="51"/>
                <c:pt idx="0">
                  <c:v>3.6672763298277705E-2</c:v>
                </c:pt>
                <c:pt idx="1">
                  <c:v>3.2587872114541325E-2</c:v>
                </c:pt>
                <c:pt idx="2">
                  <c:v>2.9374263113741229E-2</c:v>
                </c:pt>
                <c:pt idx="3">
                  <c:v>2.6800682349633228E-2</c:v>
                </c:pt>
                <c:pt idx="4">
                  <c:v>2.4707802524537994E-2</c:v>
                </c:pt>
                <c:pt idx="5">
                  <c:v>2.2982956716306076E-2</c:v>
                </c:pt>
                <c:pt idx="6">
                  <c:v>2.154465170458696E-2</c:v>
                </c:pt>
                <c:pt idx="7">
                  <c:v>2.0332762421639578E-2</c:v>
                </c:pt>
                <c:pt idx="8">
                  <c:v>1.9302144804563957E-2</c:v>
                </c:pt>
                <c:pt idx="9">
                  <c:v>1.8418369933808139E-2</c:v>
                </c:pt>
                <c:pt idx="10">
                  <c:v>1.7654810895551636E-2</c:v>
                </c:pt>
                <c:pt idx="11">
                  <c:v>1.6990613451656381E-2</c:v>
                </c:pt>
                <c:pt idx="12">
                  <c:v>1.6409256847913712E-2</c:v>
                </c:pt>
                <c:pt idx="13">
                  <c:v>1.5897516476953335E-2</c:v>
                </c:pt>
                <c:pt idx="14">
                  <c:v>1.5444705093366675E-2</c:v>
                </c:pt>
                <c:pt idx="15">
                  <c:v>1.5042110264324705E-2</c:v>
                </c:pt>
                <c:pt idx="16">
                  <c:v>1.4682572127986394E-2</c:v>
                </c:pt>
                <c:pt idx="17">
                  <c:v>1.436016284545483E-2</c:v>
                </c:pt>
                <c:pt idx="18">
                  <c:v>1.4069940688824112E-2</c:v>
                </c:pt>
                <c:pt idx="19">
                  <c:v>1.3807759545528799E-2</c:v>
                </c:pt>
                <c:pt idx="20">
                  <c:v>1.3570120013154361E-2</c:v>
                </c:pt>
                <c:pt idx="21">
                  <c:v>1.335405202181451E-2</c:v>
                </c:pt>
                <c:pt idx="22">
                  <c:v>1.3157021579682099E-2</c:v>
                </c:pt>
                <c:pt idx="23">
                  <c:v>1.2976856137674159E-2</c:v>
                </c:pt>
                <c:pt idx="24">
                  <c:v>1.2811684442810518E-2</c:v>
                </c:pt>
                <c:pt idx="25">
                  <c:v>1.2659887752736835E-2</c:v>
                </c:pt>
                <c:pt idx="26">
                  <c:v>1.2520060023394453E-2</c:v>
                </c:pt>
                <c:pt idx="27">
                  <c:v>1.2390975232016002E-2</c:v>
                </c:pt>
                <c:pt idx="28">
                  <c:v>1.227156041049542E-2</c:v>
                </c:pt>
                <c:pt idx="29">
                  <c:v>1.2160873276507849E-2</c:v>
                </c:pt>
                <c:pt idx="30">
                  <c:v>1.205808358783007E-2</c:v>
                </c:pt>
                <c:pt idx="31">
                  <c:v>1.1962457528101687E-2</c:v>
                </c:pt>
                <c:pt idx="32">
                  <c:v>1.1873344573572052E-2</c:v>
                </c:pt>
                <c:pt idx="33">
                  <c:v>1.1790166400324688E-2</c:v>
                </c:pt>
                <c:pt idx="34">
                  <c:v>1.1712407477547619E-2</c:v>
                </c:pt>
                <c:pt idx="35">
                  <c:v>1.1639607060204216E-2</c:v>
                </c:pt>
                <c:pt idx="36">
                  <c:v>1.1571352348140595E-2</c:v>
                </c:pt>
                <c:pt idx="37">
                  <c:v>1.1507272621405031E-2</c:v>
                </c:pt>
                <c:pt idx="38">
                  <c:v>1.1447034195756453E-2</c:v>
                </c:pt>
                <c:pt idx="39">
                  <c:v>1.1390336069842043E-2</c:v>
                </c:pt>
                <c:pt idx="40">
                  <c:v>1.1336906157743926E-2</c:v>
                </c:pt>
                <c:pt idx="41">
                  <c:v>1.1286498018626908E-2</c:v>
                </c:pt>
                <c:pt idx="42">
                  <c:v>1.1238888009915545E-2</c:v>
                </c:pt>
                <c:pt idx="43">
                  <c:v>1.1193872802455729E-2</c:v>
                </c:pt>
                <c:pt idx="44">
                  <c:v>1.1151267205997592E-2</c:v>
                </c:pt>
                <c:pt idx="45">
                  <c:v>1.1110902261485953E-2</c:v>
                </c:pt>
                <c:pt idx="46">
                  <c:v>1.1072623563390518E-2</c:v>
                </c:pt>
                <c:pt idx="47">
                  <c:v>1.10362897809115E-2</c:v>
                </c:pt>
                <c:pt idx="48">
                  <c:v>1.1001771351566828E-2</c:v>
                </c:pt>
                <c:pt idx="49">
                  <c:v>1.0968949324572668E-2</c:v>
                </c:pt>
                <c:pt idx="50">
                  <c:v>1.0937714334705076E-2</c:v>
                </c:pt>
              </c:numCache>
            </c:numRef>
          </c:yVal>
          <c:smooth val="1"/>
        </c:ser>
        <c:ser>
          <c:idx val="1"/>
          <c:order val="1"/>
          <c:tx>
            <c:v>MOSFET</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'Fly-Buck_Calc'!$CK$4:$CK$54</c:f>
              <c:numCache>
                <c:formatCode>General</c:formatCode>
                <c:ptCount val="51"/>
                <c:pt idx="0">
                  <c:v>0.30783478128334096</c:v>
                </c:pt>
                <c:pt idx="1">
                  <c:v>0.29949166066500454</c:v>
                </c:pt>
                <c:pt idx="2">
                  <c:v>0.29475813766168979</c:v>
                </c:pt>
                <c:pt idx="3">
                  <c:v>0.29267616021038523</c:v>
                </c:pt>
                <c:pt idx="4">
                  <c:v>0.29258565807784787</c:v>
                </c:pt>
                <c:pt idx="5">
                  <c:v>0.29401986830088711</c:v>
                </c:pt>
                <c:pt idx="6">
                  <c:v>0.29664117610947927</c:v>
                </c:pt>
                <c:pt idx="7">
                  <c:v>0.30020049193726872</c:v>
                </c:pt>
                <c:pt idx="8">
                  <c:v>0.30451079038081252</c:v>
                </c:pt>
                <c:pt idx="9">
                  <c:v>0.3094294373448242</c:v>
                </c:pt>
                <c:pt idx="10">
                  <c:v>0.3148461213291901</c:v>
                </c:pt>
                <c:pt idx="11">
                  <c:v>0.32067444620448116</c:v>
                </c:pt>
                <c:pt idx="12">
                  <c:v>0.32684596884611872</c:v>
                </c:pt>
                <c:pt idx="13">
                  <c:v>0.33330590159499718</c:v>
                </c:pt>
                <c:pt idx="14">
                  <c:v>0.34000996872013811</c:v>
                </c:pt>
                <c:pt idx="15">
                  <c:v>0.34692207585696433</c:v>
                </c:pt>
                <c:pt idx="16">
                  <c:v>0.35401256072070553</c:v>
                </c:pt>
                <c:pt idx="17">
                  <c:v>0.36125686512164612</c:v>
                </c:pt>
                <c:pt idx="18">
                  <c:v>0.36863451618703325</c:v>
                </c:pt>
                <c:pt idx="19">
                  <c:v>0.37612833716480976</c:v>
                </c:pt>
                <c:pt idx="20">
                  <c:v>0.38372383053068715</c:v>
                </c:pt>
                <c:pt idx="21">
                  <c:v>0.39140869170942205</c:v>
                </c:pt>
                <c:pt idx="22">
                  <c:v>0.39917242273487352</c:v>
                </c:pt>
                <c:pt idx="23">
                  <c:v>0.40700602304655487</c:v>
                </c:pt>
                <c:pt idx="24">
                  <c:v>0.41490174031069116</c:v>
                </c:pt>
                <c:pt idx="25">
                  <c:v>0.42285286830895741</c:v>
                </c:pt>
                <c:pt idx="26">
                  <c:v>0.43085358200168178</c:v>
                </c:pt>
                <c:pt idx="27">
                  <c:v>0.43889880215168542</c:v>
                </c:pt>
                <c:pt idx="28">
                  <c:v>0.44698408360538577</c:v>
                </c:pt>
                <c:pt idx="29">
                  <c:v>0.45510552262172299</c:v>
                </c:pt>
                <c:pt idx="30">
                  <c:v>0.4632596796257723</c:v>
                </c:pt>
                <c:pt idx="31">
                  <c:v>0.47144351452118316</c:v>
                </c:pt>
                <c:pt idx="32">
                  <c:v>0.47965433228098897</c:v>
                </c:pt>
                <c:pt idx="33">
                  <c:v>0.48788973699182137</c:v>
                </c:pt>
                <c:pt idx="34">
                  <c:v>0.49614759288317345</c:v>
                </c:pt>
                <c:pt idx="35">
                  <c:v>0.5044259911541793</c:v>
                </c:pt>
                <c:pt idx="36">
                  <c:v>0.51272322163277295</c:v>
                </c:pt>
                <c:pt idx="37">
                  <c:v>0.52103774847915418</c:v>
                </c:pt>
                <c:pt idx="38">
                  <c:v>0.52936818928718155</c:v>
                </c:pt>
                <c:pt idx="39">
                  <c:v>0.53771329705125037</c:v>
                </c:pt>
                <c:pt idx="40">
                  <c:v>0.54607194455827257</c:v>
                </c:pt>
                <c:pt idx="41">
                  <c:v>0.55444311083907338</c:v>
                </c:pt>
                <c:pt idx="42">
                  <c:v>0.56282586937441204</c:v>
                </c:pt>
                <c:pt idx="43">
                  <c:v>0.57121937780064991</c:v>
                </c:pt>
                <c:pt idx="44">
                  <c:v>0.57962286890103765</c:v>
                </c:pt>
                <c:pt idx="45">
                  <c:v>0.58803564270234665</c:v>
                </c:pt>
                <c:pt idx="46">
                  <c:v>0.59645705952452266</c:v>
                </c:pt>
                <c:pt idx="47">
                  <c:v>0.60488653385425251</c:v>
                </c:pt>
                <c:pt idx="48">
                  <c:v>0.61332352893268161</c:v>
                </c:pt>
                <c:pt idx="49">
                  <c:v>0.62176755196370581</c:v>
                </c:pt>
                <c:pt idx="50">
                  <c:v>0.63021814986282576</c:v>
                </c:pt>
              </c:numCache>
            </c:numRef>
          </c:yVal>
          <c:smooth val="1"/>
        </c:ser>
        <c:ser>
          <c:idx val="2"/>
          <c:order val="2"/>
          <c:tx>
            <c:v>Diode</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'Fly-Buck_Calc'!$CR$4:$CR$54</c:f>
              <c:numCache>
                <c:formatCode>##0.0E+0</c:formatCode>
                <c:ptCount val="5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numCache>
            </c:numRef>
          </c:yVal>
          <c:smooth val="1"/>
        </c:ser>
        <c:dLbls>
          <c:showLegendKey val="0"/>
          <c:showVal val="0"/>
          <c:showCatName val="0"/>
          <c:showSerName val="0"/>
          <c:showPercent val="0"/>
          <c:showBubbleSize val="0"/>
        </c:dLbls>
        <c:axId val="184763136"/>
        <c:axId val="184765056"/>
      </c:scatterChart>
      <c:valAx>
        <c:axId val="18476313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4765056"/>
        <c:crosses val="autoZero"/>
        <c:crossBetween val="midCat"/>
      </c:valAx>
      <c:valAx>
        <c:axId val="184765056"/>
        <c:scaling>
          <c:orientation val="minMax"/>
        </c:scaling>
        <c:delete val="0"/>
        <c:axPos val="l"/>
        <c:majorGridlines/>
        <c:title>
          <c:tx>
            <c:rich>
              <a:bodyPr rot="-5400000" vert="horz"/>
              <a:lstStyle/>
              <a:p>
                <a:pPr>
                  <a:defRPr/>
                </a:pPr>
                <a:r>
                  <a:rPr lang="en-US"/>
                  <a:t>Losses</a:t>
                </a:r>
                <a:r>
                  <a:rPr lang="en-US" baseline="0"/>
                  <a:t> (W)</a:t>
                </a:r>
                <a:endParaRPr lang="en-US"/>
              </a:p>
            </c:rich>
          </c:tx>
          <c:layout/>
          <c:overlay val="0"/>
        </c:title>
        <c:numFmt formatCode="##0.0E+0" sourceLinked="0"/>
        <c:majorTickMark val="out"/>
        <c:minorTickMark val="none"/>
        <c:tickLblPos val="nextTo"/>
        <c:crossAx val="184763136"/>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layout/>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('Fly-Buck'!$B$96,'Fly-Buck'!$B$99,'Fly-Buck'!$B$102,'Fly-Buck'!$B$105,'Fly-Buck'!$B$108,'Fly-Buck'!$B$111,'Fly-Buck'!$B$114)</c:f>
              <c:numCache>
                <c:formatCode>0.00</c:formatCode>
                <c:ptCount val="7"/>
                <c:pt idx="0">
                  <c:v>39.25925925925926</c:v>
                </c:pt>
                <c:pt idx="1">
                  <c:v>18.518518518518519</c:v>
                </c:pt>
                <c:pt idx="2">
                  <c:v>18.518518518518519</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('Fly-Buck'!$B$97,'Fly-Buck'!$B$100,'Fly-Buck'!$B$103,'Fly-Buck'!$B$106,'Fly-Buck'!$B$109,'Fly-Buck'!$B$112,'Fly-Buck'!$B$115)</c:f>
              <c:numCache>
                <c:formatCode>General</c:formatCode>
                <c:ptCount val="7"/>
                <c:pt idx="0">
                  <c:v>100</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93863680"/>
        <c:axId val="193865600"/>
      </c:barChart>
      <c:catAx>
        <c:axId val="193863680"/>
        <c:scaling>
          <c:orientation val="minMax"/>
        </c:scaling>
        <c:delete val="0"/>
        <c:axPos val="b"/>
        <c:majorGridlines/>
        <c:title>
          <c:tx>
            <c:rich>
              <a:bodyPr/>
              <a:lstStyle/>
              <a:p>
                <a:pPr>
                  <a:defRPr/>
                </a:pPr>
                <a:r>
                  <a:rPr lang="en-US"/>
                  <a:t>Outputs</a:t>
                </a:r>
              </a:p>
            </c:rich>
          </c:tx>
          <c:layout/>
          <c:overlay val="0"/>
        </c:title>
        <c:majorTickMark val="out"/>
        <c:minorTickMark val="none"/>
        <c:tickLblPos val="nextTo"/>
        <c:crossAx val="193865600"/>
        <c:crosses val="autoZero"/>
        <c:auto val="1"/>
        <c:lblAlgn val="ctr"/>
        <c:lblOffset val="100"/>
        <c:noMultiLvlLbl val="0"/>
      </c:catAx>
      <c:valAx>
        <c:axId val="193865600"/>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General" sourceLinked="0"/>
        <c:majorTickMark val="out"/>
        <c:minorTickMark val="none"/>
        <c:tickLblPos val="nextTo"/>
        <c:crossAx val="193863680"/>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Didoe Reverse Voltage</a:t>
            </a:r>
            <a:r>
              <a:rPr lang="en-US" baseline="0"/>
              <a:t> Stress</a:t>
            </a:r>
            <a:endParaRPr lang="en-US"/>
          </a:p>
        </c:rich>
      </c:tx>
      <c:layout/>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('Fly-Buck'!$B$86,'Fly-Buck'!$B$87,'Fly-Buck'!$B$88,'Fly-Buck'!$B$89,'Fly-Buck'!$B$90,'Fly-Buck'!$B$91)</c:f>
              <c:numCache>
                <c:formatCode>General</c:formatCode>
                <c:ptCount val="6"/>
                <c:pt idx="0">
                  <c:v>50.580000000000005</c:v>
                </c:pt>
                <c:pt idx="1">
                  <c:v>50.580000000000005</c:v>
                </c:pt>
                <c:pt idx="2">
                  <c:v>0</c:v>
                </c:pt>
                <c:pt idx="3">
                  <c:v>0</c:v>
                </c:pt>
                <c:pt idx="4">
                  <c:v>0</c:v>
                </c:pt>
                <c:pt idx="5">
                  <c:v>0</c:v>
                </c:pt>
              </c:numCache>
            </c:numRef>
          </c:val>
        </c:ser>
        <c:dLbls>
          <c:showLegendKey val="0"/>
          <c:showVal val="0"/>
          <c:showCatName val="0"/>
          <c:showSerName val="0"/>
          <c:showPercent val="0"/>
          <c:showBubbleSize val="0"/>
        </c:dLbls>
        <c:gapWidth val="150"/>
        <c:axId val="193906944"/>
        <c:axId val="193908736"/>
      </c:barChart>
      <c:catAx>
        <c:axId val="193906944"/>
        <c:scaling>
          <c:orientation val="minMax"/>
        </c:scaling>
        <c:delete val="0"/>
        <c:axPos val="b"/>
        <c:majorTickMark val="out"/>
        <c:minorTickMark val="none"/>
        <c:tickLblPos val="nextTo"/>
        <c:crossAx val="193908736"/>
        <c:crosses val="autoZero"/>
        <c:auto val="1"/>
        <c:lblAlgn val="ctr"/>
        <c:lblOffset val="100"/>
        <c:noMultiLvlLbl val="0"/>
      </c:catAx>
      <c:valAx>
        <c:axId val="193908736"/>
        <c:scaling>
          <c:orientation val="minMax"/>
        </c:scaling>
        <c:delete val="0"/>
        <c:axPos val="l"/>
        <c:majorGridlines/>
        <c:title>
          <c:tx>
            <c:rich>
              <a:bodyPr rot="-5400000" vert="horz"/>
              <a:lstStyle/>
              <a:p>
                <a:pPr>
                  <a:defRPr/>
                </a:pPr>
                <a:r>
                  <a:rPr lang="en-US"/>
                  <a:t>Voltage</a:t>
                </a:r>
                <a:r>
                  <a:rPr lang="en-US" baseline="0"/>
                  <a:t> Stress (V)</a:t>
                </a:r>
                <a:endParaRPr lang="en-US"/>
              </a:p>
            </c:rich>
          </c:tx>
          <c:layout/>
          <c:overlay val="0"/>
        </c:title>
        <c:numFmt formatCode="General" sourceLinked="1"/>
        <c:majorTickMark val="out"/>
        <c:minorTickMark val="none"/>
        <c:tickLblPos val="nextTo"/>
        <c:crossAx val="19390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'Fly-Buck_Calc'!$M$4:$M$54</c:f>
              <c:numCache>
                <c:formatCode>General</c:formatCode>
                <c:ptCount val="51"/>
                <c:pt idx="0">
                  <c:v>0.61728395061728403</c:v>
                </c:pt>
                <c:pt idx="1">
                  <c:v>0.56805271529197909</c:v>
                </c:pt>
                <c:pt idx="2">
                  <c:v>0.52609427609427606</c:v>
                </c:pt>
                <c:pt idx="3">
                  <c:v>0.48990789731530476</c:v>
                </c:pt>
                <c:pt idx="4">
                  <c:v>0.45837917125045835</c:v>
                </c:pt>
                <c:pt idx="5">
                  <c:v>0.43066322136089574</c:v>
                </c:pt>
                <c:pt idx="6">
                  <c:v>0.40610786224821316</c:v>
                </c:pt>
                <c:pt idx="7">
                  <c:v>0.38420162901490701</c:v>
                </c:pt>
                <c:pt idx="8">
                  <c:v>0.36453776611256922</c:v>
                </c:pt>
                <c:pt idx="9">
                  <c:v>0.34678873630184492</c:v>
                </c:pt>
                <c:pt idx="10">
                  <c:v>0.33068783068783064</c:v>
                </c:pt>
                <c:pt idx="11">
                  <c:v>0.31601567437744915</c:v>
                </c:pt>
                <c:pt idx="12">
                  <c:v>0.30259017187121762</c:v>
                </c:pt>
                <c:pt idx="13">
                  <c:v>0.2902589109485661</c:v>
                </c:pt>
                <c:pt idx="14">
                  <c:v>0.2788933511825078</c:v>
                </c:pt>
                <c:pt idx="15">
                  <c:v>0.26838432635534082</c:v>
                </c:pt>
                <c:pt idx="16">
                  <c:v>0.25863852679495136</c:v>
                </c:pt>
                <c:pt idx="17">
                  <c:v>0.24957572127383448</c:v>
                </c:pt>
                <c:pt idx="18">
                  <c:v>0.24112654320987653</c:v>
                </c:pt>
                <c:pt idx="19">
                  <c:v>0.23323071182013244</c:v>
                </c:pt>
                <c:pt idx="20">
                  <c:v>0.22583559168925021</c:v>
                </c:pt>
                <c:pt idx="21">
                  <c:v>0.21889501794939148</c:v>
                </c:pt>
                <c:pt idx="22">
                  <c:v>0.21236833163438668</c:v>
                </c:pt>
                <c:pt idx="23">
                  <c:v>0.20621958261156478</c:v>
                </c:pt>
                <c:pt idx="24">
                  <c:v>0.20041686708353373</c:v>
                </c:pt>
                <c:pt idx="25">
                  <c:v>0.19493177387914229</c:v>
                </c:pt>
                <c:pt idx="26">
                  <c:v>0.18973891924711597</c:v>
                </c:pt>
                <c:pt idx="27">
                  <c:v>0.1848155540770311</c:v>
                </c:pt>
                <c:pt idx="28">
                  <c:v>0.1801412307248883</c:v>
                </c:pt>
                <c:pt idx="29">
                  <c:v>0.17569751915102957</c:v>
                </c:pt>
                <c:pt idx="30">
                  <c:v>0.1714677640603566</c:v>
                </c:pt>
                <c:pt idx="31">
                  <c:v>0.16743687629763579</c:v>
                </c:pt>
                <c:pt idx="32">
                  <c:v>0.16359115299044627</c:v>
                </c:pt>
                <c:pt idx="33">
                  <c:v>0.15991812192157615</c:v>
                </c:pt>
                <c:pt idx="34">
                  <c:v>0.15640640640640643</c:v>
                </c:pt>
                <c:pt idx="35">
                  <c:v>0.15304560759106212</c:v>
                </c:pt>
                <c:pt idx="36">
                  <c:v>0.14982620160613688</c:v>
                </c:pt>
                <c:pt idx="37">
                  <c:v>0.14673944943358574</c:v>
                </c:pt>
                <c:pt idx="38">
                  <c:v>0.14377731769036114</c:v>
                </c:pt>
                <c:pt idx="39">
                  <c:v>0.1409324088167315</c:v>
                </c:pt>
                <c:pt idx="40">
                  <c:v>0.13819789939192922</c:v>
                </c:pt>
                <c:pt idx="41">
                  <c:v>0.13556748549427902</c:v>
                </c:pt>
                <c:pt idx="42">
                  <c:v>0.13303533418475949</c:v>
                </c:pt>
                <c:pt idx="43">
                  <c:v>0.13059604032805724</c:v>
                </c:pt>
                <c:pt idx="44">
                  <c:v>0.1282445880783831</c:v>
                </c:pt>
                <c:pt idx="45">
                  <c:v>0.12597631645250693</c:v>
                </c:pt>
                <c:pt idx="46">
                  <c:v>0.12378688849277084</c:v>
                </c:pt>
                <c:pt idx="47">
                  <c:v>0.12167226359079183</c:v>
                </c:pt>
                <c:pt idx="48">
                  <c:v>0.11962867260024883</c:v>
                </c:pt>
                <c:pt idx="49">
                  <c:v>0.11765259541625489</c:v>
                </c:pt>
                <c:pt idx="50">
                  <c:v>0.11574074074074073</c:v>
                </c:pt>
              </c:numCache>
            </c:numRef>
          </c:yVal>
          <c:smooth val="1"/>
        </c:ser>
        <c:dLbls>
          <c:showLegendKey val="0"/>
          <c:showVal val="0"/>
          <c:showCatName val="0"/>
          <c:showSerName val="0"/>
          <c:showPercent val="0"/>
          <c:showBubbleSize val="0"/>
        </c:dLbls>
        <c:axId val="193949696"/>
        <c:axId val="193951616"/>
      </c:scatterChart>
      <c:valAx>
        <c:axId val="19394969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3951616"/>
        <c:crosses val="autoZero"/>
        <c:crossBetween val="midCat"/>
      </c:valAx>
      <c:valAx>
        <c:axId val="193951616"/>
        <c:scaling>
          <c:orientation val="minMax"/>
        </c:scaling>
        <c:delete val="0"/>
        <c:axPos val="l"/>
        <c:majorGridlines/>
        <c:title>
          <c:tx>
            <c:rich>
              <a:bodyPr rot="-5400000" vert="horz"/>
              <a:lstStyle/>
              <a:p>
                <a:pPr>
                  <a:defRPr/>
                </a:pPr>
                <a:r>
                  <a:rPr lang="en-US"/>
                  <a:t>Losses</a:t>
                </a:r>
                <a:r>
                  <a:rPr lang="en-US" baseline="0"/>
                  <a:t> (W)</a:t>
                </a:r>
                <a:endParaRPr lang="en-US"/>
              </a:p>
            </c:rich>
          </c:tx>
          <c:layout/>
          <c:overlay val="0"/>
        </c:title>
        <c:numFmt formatCode="##0.0E+0" sourceLinked="0"/>
        <c:majorTickMark val="out"/>
        <c:minorTickMark val="none"/>
        <c:tickLblPos val="nextTo"/>
        <c:crossAx val="193949696"/>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(Designs!$B$17,Designs!$B$32,Designs!$B$37,Designs!$B$42,Designs!$B$47,Designs!$B$52,Designs!$B$57)</c:f>
              <c:numCache>
                <c:formatCode>General</c:formatCode>
                <c:ptCount val="7"/>
                <c:pt idx="0">
                  <c:v>5</c:v>
                </c:pt>
                <c:pt idx="1">
                  <c:v>5</c:v>
                </c:pt>
                <c:pt idx="2">
                  <c:v>5</c:v>
                </c:pt>
                <c:pt idx="3">
                  <c:v>0</c:v>
                </c:pt>
                <c:pt idx="4">
                  <c:v>0</c:v>
                </c:pt>
                <c:pt idx="5">
                  <c:v>0</c:v>
                </c:pt>
                <c:pt idx="6">
                  <c:v>0</c:v>
                </c:pt>
              </c:numCache>
            </c:numRef>
          </c:val>
        </c:ser>
        <c:dLbls>
          <c:showLegendKey val="0"/>
          <c:showVal val="0"/>
          <c:showCatName val="0"/>
          <c:showSerName val="0"/>
          <c:showPercent val="0"/>
          <c:showBubbleSize val="0"/>
        </c:dLbls>
        <c:gapWidth val="150"/>
        <c:axId val="193972864"/>
        <c:axId val="194318720"/>
      </c:barChart>
      <c:catAx>
        <c:axId val="193972864"/>
        <c:scaling>
          <c:orientation val="minMax"/>
        </c:scaling>
        <c:delete val="0"/>
        <c:axPos val="b"/>
        <c:majorGridlines/>
        <c:majorTickMark val="out"/>
        <c:minorTickMark val="none"/>
        <c:tickLblPos val="nextTo"/>
        <c:crossAx val="194318720"/>
        <c:crosses val="autoZero"/>
        <c:auto val="1"/>
        <c:lblAlgn val="ctr"/>
        <c:lblOffset val="100"/>
        <c:noMultiLvlLbl val="0"/>
      </c:catAx>
      <c:valAx>
        <c:axId val="194318720"/>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19397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Didoe Reverse Voltage</a:t>
            </a:r>
            <a:r>
              <a:rPr lang="en-US" baseline="0"/>
              <a:t> Stress</a:t>
            </a:r>
            <a:endParaRPr lang="en-US"/>
          </a:p>
        </c:rich>
      </c:tx>
      <c:layout/>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('Fly-Buck-Boost'!$B$82,'Fly-Buck-Boost'!$B$83,'Fly-Buck-Boost'!$B$84,'Fly-Buck-Boost'!$B$85,'Fly-Buck-Boost'!$B$86,'Fly-Buck-Boost'!$B$87)</c:f>
              <c:numCache>
                <c:formatCode>General</c:formatCode>
                <c:ptCount val="6"/>
                <c:pt idx="0">
                  <c:v>33.271999999999998</c:v>
                </c:pt>
                <c:pt idx="1">
                  <c:v>33.271999999999998</c:v>
                </c:pt>
                <c:pt idx="2">
                  <c:v>0</c:v>
                </c:pt>
                <c:pt idx="3">
                  <c:v>0</c:v>
                </c:pt>
                <c:pt idx="4">
                  <c:v>0</c:v>
                </c:pt>
                <c:pt idx="5">
                  <c:v>0</c:v>
                </c:pt>
              </c:numCache>
            </c:numRef>
          </c:val>
        </c:ser>
        <c:dLbls>
          <c:showLegendKey val="0"/>
          <c:showVal val="0"/>
          <c:showCatName val="0"/>
          <c:showSerName val="0"/>
          <c:showPercent val="0"/>
          <c:showBubbleSize val="0"/>
        </c:dLbls>
        <c:gapWidth val="150"/>
        <c:axId val="198939008"/>
        <c:axId val="198940544"/>
      </c:barChart>
      <c:catAx>
        <c:axId val="198939008"/>
        <c:scaling>
          <c:orientation val="minMax"/>
        </c:scaling>
        <c:delete val="0"/>
        <c:axPos val="b"/>
        <c:majorTickMark val="out"/>
        <c:minorTickMark val="none"/>
        <c:tickLblPos val="nextTo"/>
        <c:crossAx val="198940544"/>
        <c:crosses val="autoZero"/>
        <c:auto val="1"/>
        <c:lblAlgn val="ctr"/>
        <c:lblOffset val="100"/>
        <c:noMultiLvlLbl val="0"/>
      </c:catAx>
      <c:valAx>
        <c:axId val="198940544"/>
        <c:scaling>
          <c:orientation val="minMax"/>
        </c:scaling>
        <c:delete val="0"/>
        <c:axPos val="l"/>
        <c:majorGridlines/>
        <c:title>
          <c:tx>
            <c:rich>
              <a:bodyPr rot="-5400000" vert="horz"/>
              <a:lstStyle/>
              <a:p>
                <a:pPr>
                  <a:defRPr/>
                </a:pPr>
                <a:r>
                  <a:rPr lang="en-US"/>
                  <a:t>Voltage</a:t>
                </a:r>
                <a:r>
                  <a:rPr lang="en-US" baseline="0"/>
                  <a:t> Stress (V)</a:t>
                </a:r>
                <a:endParaRPr lang="en-US"/>
              </a:p>
            </c:rich>
          </c:tx>
          <c:layout/>
          <c:overlay val="0"/>
        </c:title>
        <c:numFmt formatCode="General" sourceLinked="1"/>
        <c:majorTickMark val="out"/>
        <c:minorTickMark val="none"/>
        <c:tickLblPos val="nextTo"/>
        <c:crossAx val="198939008"/>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layout/>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('Fly-Buck-Boost'!$B$91,'Fly-Buck-Boost'!$B$94,'Fly-Buck-Boost'!$B$97,'Fly-Buck-Boost'!$B$100,'Fly-Buck-Boost'!$B$103,'Fly-Buck-Boost'!$B$106,'Fly-Buck-Boost'!$B$109)</c:f>
              <c:numCache>
                <c:formatCode>0.00</c:formatCode>
                <c:ptCount val="7"/>
                <c:pt idx="0">
                  <c:v>41.152263374485592</c:v>
                </c:pt>
                <c:pt idx="1">
                  <c:v>16.666666666666664</c:v>
                </c:pt>
                <c:pt idx="2">
                  <c:v>16.666666666666664</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('Fly-Buck-Boost'!$B$92,'Fly-Buck-Boost'!$B$95,'Fly-Buck-Boost'!$B$98,'Fly-Buck-Boost'!$B$101,'Fly-Buck-Boost'!$B$104,'Fly-Buck-Boost'!$B$107,'Fly-Buck-Boost'!$B$110)</c:f>
              <c:numCache>
                <c:formatCode>General</c:formatCode>
                <c:ptCount val="7"/>
                <c:pt idx="0">
                  <c:v>47</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99052672"/>
        <c:axId val="199058944"/>
      </c:barChart>
      <c:catAx>
        <c:axId val="199052672"/>
        <c:scaling>
          <c:orientation val="minMax"/>
        </c:scaling>
        <c:delete val="0"/>
        <c:axPos val="b"/>
        <c:majorGridlines/>
        <c:title>
          <c:tx>
            <c:rich>
              <a:bodyPr/>
              <a:lstStyle/>
              <a:p>
                <a:pPr>
                  <a:defRPr/>
                </a:pPr>
                <a:r>
                  <a:rPr lang="en-US"/>
                  <a:t>Outputs</a:t>
                </a:r>
              </a:p>
            </c:rich>
          </c:tx>
          <c:layout/>
          <c:overlay val="0"/>
        </c:title>
        <c:majorTickMark val="out"/>
        <c:minorTickMark val="none"/>
        <c:tickLblPos val="nextTo"/>
        <c:crossAx val="199058944"/>
        <c:crosses val="autoZero"/>
        <c:auto val="1"/>
        <c:lblAlgn val="ctr"/>
        <c:lblOffset val="100"/>
        <c:noMultiLvlLbl val="0"/>
      </c:catAx>
      <c:valAx>
        <c:axId val="199058944"/>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General" sourceLinked="0"/>
        <c:majorTickMark val="out"/>
        <c:minorTickMark val="none"/>
        <c:tickLblPos val="nextTo"/>
        <c:crossAx val="199052672"/>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'Fly-BB_Calc'!$Q$4:$Q$54</c:f>
              <c:numCache>
                <c:formatCode>General</c:formatCode>
                <c:ptCount val="51"/>
                <c:pt idx="0">
                  <c:v>0.5</c:v>
                </c:pt>
                <c:pt idx="1">
                  <c:v>0.47923322683706066</c:v>
                </c:pt>
                <c:pt idx="2">
                  <c:v>0.46012269938650302</c:v>
                </c:pt>
                <c:pt idx="3">
                  <c:v>0.44247787610619471</c:v>
                </c:pt>
                <c:pt idx="4">
                  <c:v>0.42613636363636359</c:v>
                </c:pt>
                <c:pt idx="5">
                  <c:v>0.41095890410958907</c:v>
                </c:pt>
                <c:pt idx="6">
                  <c:v>0.3968253968253968</c:v>
                </c:pt>
                <c:pt idx="7">
                  <c:v>0.38363171355498721</c:v>
                </c:pt>
                <c:pt idx="8">
                  <c:v>0.37128712871287128</c:v>
                </c:pt>
                <c:pt idx="9">
                  <c:v>0.35971223021582732</c:v>
                </c:pt>
                <c:pt idx="10">
                  <c:v>0.34883720930232559</c:v>
                </c:pt>
                <c:pt idx="11">
                  <c:v>0.33860045146726864</c:v>
                </c:pt>
                <c:pt idx="12">
                  <c:v>0.32894736842105265</c:v>
                </c:pt>
                <c:pt idx="13">
                  <c:v>0.31982942430703626</c:v>
                </c:pt>
                <c:pt idx="14">
                  <c:v>0.31120331950207469</c:v>
                </c:pt>
                <c:pt idx="15">
                  <c:v>0.30303030303030298</c:v>
                </c:pt>
                <c:pt idx="16">
                  <c:v>0.29527559055118108</c:v>
                </c:pt>
                <c:pt idx="17">
                  <c:v>0.28790786948176583</c:v>
                </c:pt>
                <c:pt idx="18">
                  <c:v>0.2808988764044944</c:v>
                </c:pt>
                <c:pt idx="19">
                  <c:v>0.27422303473491771</c:v>
                </c:pt>
                <c:pt idx="20">
                  <c:v>0.26785714285714285</c:v>
                </c:pt>
                <c:pt idx="21">
                  <c:v>0.26178010471204194</c:v>
                </c:pt>
                <c:pt idx="22">
                  <c:v>0.25597269624573382</c:v>
                </c:pt>
                <c:pt idx="23">
                  <c:v>0.25041736227045075</c:v>
                </c:pt>
                <c:pt idx="24">
                  <c:v>0.24509803921568629</c:v>
                </c:pt>
                <c:pt idx="25">
                  <c:v>0.24</c:v>
                </c:pt>
                <c:pt idx="26">
                  <c:v>0.23510971786833856</c:v>
                </c:pt>
                <c:pt idx="27">
                  <c:v>0.23041474654377878</c:v>
                </c:pt>
                <c:pt idx="28">
                  <c:v>0.2259036144578313</c:v>
                </c:pt>
                <c:pt idx="29">
                  <c:v>0.22156573116691283</c:v>
                </c:pt>
                <c:pt idx="30">
                  <c:v>0.21739130434782605</c:v>
                </c:pt>
                <c:pt idx="31">
                  <c:v>0.21337126600284495</c:v>
                </c:pt>
                <c:pt idx="32">
                  <c:v>0.20949720670391062</c:v>
                </c:pt>
                <c:pt idx="33">
                  <c:v>0.20576131687242796</c:v>
                </c:pt>
                <c:pt idx="34">
                  <c:v>0.20215633423180596</c:v>
                </c:pt>
                <c:pt idx="35">
                  <c:v>0.19867549668874174</c:v>
                </c:pt>
                <c:pt idx="36">
                  <c:v>0.1953125</c:v>
                </c:pt>
                <c:pt idx="37">
                  <c:v>0.19206145966709348</c:v>
                </c:pt>
                <c:pt idx="38">
                  <c:v>0.18891687657430731</c:v>
                </c:pt>
                <c:pt idx="39">
                  <c:v>0.18587360594795538</c:v>
                </c:pt>
                <c:pt idx="40">
                  <c:v>0.18292682926829268</c:v>
                </c:pt>
                <c:pt idx="41">
                  <c:v>0.18007202881152459</c:v>
                </c:pt>
                <c:pt idx="42">
                  <c:v>0.1773049645390071</c:v>
                </c:pt>
                <c:pt idx="43">
                  <c:v>0.17462165308498254</c:v>
                </c:pt>
                <c:pt idx="44">
                  <c:v>0.17201834862385321</c:v>
                </c:pt>
                <c:pt idx="45">
                  <c:v>0.16949152542372881</c:v>
                </c:pt>
                <c:pt idx="46">
                  <c:v>0.16703786191536749</c:v>
                </c:pt>
                <c:pt idx="47">
                  <c:v>0.16465422612513719</c:v>
                </c:pt>
                <c:pt idx="48">
                  <c:v>0.16233766233766234</c:v>
                </c:pt>
                <c:pt idx="49">
                  <c:v>0.16008537886873</c:v>
                </c:pt>
                <c:pt idx="50">
                  <c:v>0.15789473684210525</c:v>
                </c:pt>
              </c:numCache>
            </c:numRef>
          </c:yVal>
          <c:smooth val="1"/>
        </c:ser>
        <c:dLbls>
          <c:showLegendKey val="0"/>
          <c:showVal val="0"/>
          <c:showCatName val="0"/>
          <c:showSerName val="0"/>
          <c:showPercent val="0"/>
          <c:showBubbleSize val="0"/>
        </c:dLbls>
        <c:axId val="199070848"/>
        <c:axId val="199072768"/>
      </c:scatterChart>
      <c:valAx>
        <c:axId val="199070848"/>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9072768"/>
        <c:crosses val="autoZero"/>
        <c:crossBetween val="midCat"/>
      </c:valAx>
      <c:valAx>
        <c:axId val="199072768"/>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99070848"/>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'Fly-Buck_Calc'!$T$4:$T$54</c:f>
              <c:numCache>
                <c:formatCode>General</c:formatCode>
                <c:ptCount val="51"/>
                <c:pt idx="0">
                  <c:v>1.1992945326278661</c:v>
                </c:pt>
                <c:pt idx="1">
                  <c:v>1.2080858246502419</c:v>
                </c:pt>
                <c:pt idx="2">
                  <c:v>1.2155784030784031</c:v>
                </c:pt>
                <c:pt idx="3">
                  <c:v>1.2220402564317909</c:v>
                </c:pt>
                <c:pt idx="4">
                  <c:v>1.2276703860862277</c:v>
                </c:pt>
                <c:pt idx="5">
                  <c:v>1.232619662852221</c:v>
                </c:pt>
                <c:pt idx="6">
                  <c:v>1.2370045484080572</c:v>
                </c:pt>
                <c:pt idx="7">
                  <c:v>1.2409163757711477</c:v>
                </c:pt>
                <c:pt idx="8">
                  <c:v>1.2444277798608505</c:v>
                </c:pt>
                <c:pt idx="9">
                  <c:v>1.2475972494699086</c:v>
                </c:pt>
                <c:pt idx="10">
                  <c:v>1.2504724111866967</c:v>
                </c:pt>
                <c:pt idx="11">
                  <c:v>1.2530924390992648</c:v>
                </c:pt>
                <c:pt idx="12">
                  <c:v>1.2554898502610921</c:v>
                </c:pt>
                <c:pt idx="13">
                  <c:v>1.2576918611401369</c:v>
                </c:pt>
                <c:pt idx="14">
                  <c:v>1.2597214253840761</c:v>
                </c:pt>
                <c:pt idx="15">
                  <c:v>1.2615980369603559</c:v>
                </c:pt>
                <c:pt idx="16">
                  <c:v>1.2633383583104252</c:v>
                </c:pt>
                <c:pt idx="17">
                  <c:v>1.2649567164391962</c:v>
                </c:pt>
                <c:pt idx="18">
                  <c:v>1.2664654982363315</c:v>
                </c:pt>
                <c:pt idx="19">
                  <c:v>1.2678754681273572</c:v>
                </c:pt>
                <c:pt idx="20">
                  <c:v>1.2691960252935863</c:v>
                </c:pt>
                <c:pt idx="21">
                  <c:v>1.2704354134614182</c:v>
                </c:pt>
                <c:pt idx="22">
                  <c:v>1.2716008931605263</c:v>
                </c:pt>
                <c:pt idx="23">
                  <c:v>1.2726988840574587</c:v>
                </c:pt>
                <c:pt idx="24">
                  <c:v>1.2737350832588925</c:v>
                </c:pt>
                <c:pt idx="25">
                  <c:v>1.2747145641882485</c:v>
                </c:pt>
                <c:pt idx="26">
                  <c:v>1.2756418596582533</c:v>
                </c:pt>
                <c:pt idx="27">
                  <c:v>1.276521032010054</c:v>
                </c:pt>
                <c:pt idx="28">
                  <c:v>1.2773557326086507</c:v>
                </c:pt>
                <c:pt idx="29">
                  <c:v>1.2781492525325544</c:v>
                </c:pt>
                <c:pt idx="30">
                  <c:v>1.278904565941603</c:v>
                </c:pt>
                <c:pt idx="31">
                  <c:v>1.2796243673278032</c:v>
                </c:pt>
                <c:pt idx="32">
                  <c:v>1.2803111036326584</c:v>
                </c:pt>
                <c:pt idx="33">
                  <c:v>1.2809670020378139</c:v>
                </c:pt>
                <c:pt idx="34">
                  <c:v>1.2815940940940942</c:v>
                </c:pt>
                <c:pt idx="35">
                  <c:v>1.282194236739691</c:v>
                </c:pt>
                <c:pt idx="36">
                  <c:v>1.2827691306655709</c:v>
                </c:pt>
                <c:pt idx="37">
                  <c:v>1.2833203364106693</c:v>
                </c:pt>
                <c:pt idx="38">
                  <c:v>1.2838492885076733</c:v>
                </c:pt>
                <c:pt idx="39">
                  <c:v>1.2843573079493933</c:v>
                </c:pt>
                <c:pt idx="40">
                  <c:v>1.2848456132038222</c:v>
                </c:pt>
                <c:pt idx="41">
                  <c:v>1.2853153299712594</c:v>
                </c:pt>
                <c:pt idx="42">
                  <c:v>1.2857674998479598</c:v>
                </c:pt>
                <c:pt idx="43">
                  <c:v>1.2862030880366564</c:v>
                </c:pt>
                <c:pt idx="44">
                  <c:v>1.2866229902240982</c:v>
                </c:pt>
                <c:pt idx="45">
                  <c:v>1.2870280387287192</c:v>
                </c:pt>
                <c:pt idx="46">
                  <c:v>1.2874190080072434</c:v>
                </c:pt>
                <c:pt idx="47">
                  <c:v>1.2877966195968824</c:v>
                </c:pt>
                <c:pt idx="48">
                  <c:v>1.2881615465594793</c:v>
                </c:pt>
                <c:pt idx="49">
                  <c:v>1.2885144174851926</c:v>
                </c:pt>
                <c:pt idx="50">
                  <c:v>1.28885582010582</c:v>
                </c:pt>
              </c:numCache>
            </c:numRef>
          </c:yVal>
          <c:smooth val="1"/>
        </c:ser>
        <c:ser>
          <c:idx val="1"/>
          <c:order val="1"/>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'Fly-BB_Calc'!$T$4:$T$54</c:f>
              <c:numCache>
                <c:formatCode>General</c:formatCode>
                <c:ptCount val="51"/>
                <c:pt idx="0">
                  <c:v>1.2862920391656025</c:v>
                </c:pt>
                <c:pt idx="1">
                  <c:v>1.2392090907192224</c:v>
                </c:pt>
                <c:pt idx="2">
                  <c:v>1.199227602637094</c:v>
                </c:pt>
                <c:pt idx="3">
                  <c:v>1.1648665504043616</c:v>
                </c:pt>
                <c:pt idx="4">
                  <c:v>1.135028325629498</c:v>
                </c:pt>
                <c:pt idx="5">
                  <c:v>1.1088824577599463</c:v>
                </c:pt>
                <c:pt idx="6">
                  <c:v>1.0857891856076975</c:v>
                </c:pt>
                <c:pt idx="7">
                  <c:v>1.0652478161609853</c:v>
                </c:pt>
                <c:pt idx="8">
                  <c:v>1.0468609792767973</c:v>
                </c:pt>
                <c:pt idx="9">
                  <c:v>1.0303093527588709</c:v>
                </c:pt>
                <c:pt idx="10">
                  <c:v>1.0153334493083221</c:v>
                </c:pt>
                <c:pt idx="11">
                  <c:v>1.001720267946395</c:v>
                </c:pt>
                <c:pt idx="12">
                  <c:v>0.98929336023804781</c:v>
                </c:pt>
                <c:pt idx="13">
                  <c:v>0.97790533491339793</c:v>
                </c:pt>
                <c:pt idx="14">
                  <c:v>0.96743213081681845</c:v>
                </c:pt>
                <c:pt idx="15">
                  <c:v>0.95776859045224871</c:v>
                </c:pt>
                <c:pt idx="16">
                  <c:v>0.94882500252763047</c:v>
                </c:pt>
                <c:pt idx="17">
                  <c:v>0.9405243750481771</c:v>
                </c:pt>
                <c:pt idx="18">
                  <c:v>0.93280026523359205</c:v>
                </c:pt>
                <c:pt idx="19">
                  <c:v>0.92559503815449384</c:v>
                </c:pt>
                <c:pt idx="20">
                  <c:v>0.91885845856269177</c:v>
                </c:pt>
                <c:pt idx="21">
                  <c:v>0.91254654394129164</c:v>
                </c:pt>
                <c:pt idx="22">
                  <c:v>0.90662062401935328</c:v>
                </c:pt>
                <c:pt idx="23">
                  <c:v>0.9010465647181124</c:v>
                </c:pt>
                <c:pt idx="24">
                  <c:v>0.89579412398885006</c:v>
                </c:pt>
                <c:pt idx="25">
                  <c:v>0.89083641415159864</c:v>
                </c:pt>
                <c:pt idx="26">
                  <c:v>0.88614945077457186</c:v>
                </c:pt>
                <c:pt idx="27">
                  <c:v>0.88171177229323439</c:v>
                </c:pt>
                <c:pt idx="28">
                  <c:v>0.87750411777756909</c:v>
                </c:pt>
                <c:pt idx="29">
                  <c:v>0.87350915275104668</c:v>
                </c:pt>
                <c:pt idx="30">
                  <c:v>0.86971123491752056</c:v>
                </c:pt>
                <c:pt idx="31">
                  <c:v>0.86609621319048746</c:v>
                </c:pt>
                <c:pt idx="32">
                  <c:v>0.86265125463836012</c:v>
                </c:pt>
                <c:pt idx="33">
                  <c:v>0.85936469493136758</c:v>
                </c:pt>
                <c:pt idx="34">
                  <c:v>0.85622590865488291</c:v>
                </c:pt>
                <c:pt idx="35">
                  <c:v>0.85322519648192441</c:v>
                </c:pt>
                <c:pt idx="36">
                  <c:v>0.85035368670617939</c:v>
                </c:pt>
                <c:pt idx="37">
                  <c:v>0.84760324905082562</c:v>
                </c:pt>
                <c:pt idx="38">
                  <c:v>0.84496641900685454</c:v>
                </c:pt>
                <c:pt idx="39">
                  <c:v>0.84243633123250294</c:v>
                </c:pt>
                <c:pt idx="40">
                  <c:v>0.8400066607745621</c:v>
                </c:pt>
                <c:pt idx="41">
                  <c:v>0.83767157106209489</c:v>
                </c:pt>
                <c:pt idx="42">
                  <c:v>0.83542566778076688</c:v>
                </c:pt>
                <c:pt idx="43">
                  <c:v>0.83326395786758434</c:v>
                </c:pt>
                <c:pt idx="44">
                  <c:v>0.83118181297595806</c:v>
                </c:pt>
                <c:pt idx="45">
                  <c:v>0.82917493685354304</c:v>
                </c:pt>
                <c:pt idx="46">
                  <c:v>0.82723933615329259</c:v>
                </c:pt>
                <c:pt idx="47">
                  <c:v>0.82537129426409606</c:v>
                </c:pt>
                <c:pt idx="48">
                  <c:v>0.82356734780329188</c:v>
                </c:pt>
                <c:pt idx="49">
                  <c:v>0.82182426546091158</c:v>
                </c:pt>
                <c:pt idx="50">
                  <c:v>0.8201390289260827</c:v>
                </c:pt>
              </c:numCache>
            </c:numRef>
          </c:yVal>
          <c:smooth val="1"/>
        </c:ser>
        <c:ser>
          <c:idx val="2"/>
          <c:order val="2"/>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Flyback_CCM_Calc!$U$4:$U$54</c:f>
              <c:numCache>
                <c:formatCode>General</c:formatCode>
                <c:ptCount val="51"/>
                <c:pt idx="0">
                  <c:v>1.5742051021517358</c:v>
                </c:pt>
                <c:pt idx="1">
                  <c:v>1.518972577930259</c:v>
                </c:pt>
                <c:pt idx="2">
                  <c:v>1.4721607293368464</c:v>
                </c:pt>
                <c:pt idx="3">
                  <c:v>1.4320039582043715</c:v>
                </c:pt>
                <c:pt idx="4">
                  <c:v>1.3971950470417001</c:v>
                </c:pt>
                <c:pt idx="5">
                  <c:v>1.3667459312293142</c:v>
                </c:pt>
                <c:pt idx="6">
                  <c:v>1.3398962278014135</c:v>
                </c:pt>
                <c:pt idx="7">
                  <c:v>1.3160514604947178</c:v>
                </c:pt>
                <c:pt idx="8">
                  <c:v>1.2947403222991571</c:v>
                </c:pt>
                <c:pt idx="9">
                  <c:v>1.2755844731132229</c:v>
                </c:pt>
                <c:pt idx="10">
                  <c:v>1.2582767885027517</c:v>
                </c:pt>
                <c:pt idx="11">
                  <c:v>1.2425654274375721</c:v>
                </c:pt>
                <c:pt idx="12">
                  <c:v>1.2282419830708446</c:v>
                </c:pt>
                <c:pt idx="13">
                  <c:v>1.2151325477338246</c:v>
                </c:pt>
                <c:pt idx="14">
                  <c:v>1.203090890301715</c:v>
                </c:pt>
                <c:pt idx="15">
                  <c:v>1.1919931864220983</c:v>
                </c:pt>
                <c:pt idx="16">
                  <c:v>1.1817339050963906</c:v>
                </c:pt>
                <c:pt idx="17">
                  <c:v>1.1722225666000288</c:v>
                </c:pt>
                <c:pt idx="18">
                  <c:v>1.1633811641782468</c:v>
                </c:pt>
                <c:pt idx="19">
                  <c:v>1.1551420965260419</c:v>
                </c:pt>
                <c:pt idx="20">
                  <c:v>1.1474464970198102</c:v>
                </c:pt>
                <c:pt idx="21">
                  <c:v>1.1402428738211958</c:v>
                </c:pt>
                <c:pt idx="22">
                  <c:v>1.1334859955493302</c:v>
                </c:pt>
                <c:pt idx="23">
                  <c:v>1.12713597241448</c:v>
                </c:pt>
                <c:pt idx="24">
                  <c:v>1.1211574940412941</c:v>
                </c:pt>
                <c:pt idx="25">
                  <c:v>1.1155191937428039</c:v>
                </c:pt>
                <c:pt idx="26">
                  <c:v>1.1101931154856635</c:v>
                </c:pt>
                <c:pt idx="27">
                  <c:v>1.1051542647471662</c:v>
                </c:pt>
                <c:pt idx="28">
                  <c:v>1.1003802282907951</c:v>
                </c:pt>
                <c:pt idx="29">
                  <c:v>1.0958508508600402</c:v>
                </c:pt>
                <c:pt idx="30">
                  <c:v>1.0915479591160393</c:v>
                </c:pt>
                <c:pt idx="31">
                  <c:v>1.0874551249759783</c:v>
                </c:pt>
                <c:pt idx="32">
                  <c:v>1.0835574619600634</c:v>
                </c:pt>
                <c:pt idx="33">
                  <c:v>1.0798414493110571</c:v>
                </c:pt>
                <c:pt idx="34">
                  <c:v>1.076294779576811</c:v>
                </c:pt>
                <c:pt idx="35">
                  <c:v>1.0729062260924953</c:v>
                </c:pt>
                <c:pt idx="36">
                  <c:v>1.0696655274034048</c:v>
                </c:pt>
                <c:pt idx="37">
                  <c:v>1.0665632861607131</c:v>
                </c:pt>
                <c:pt idx="38">
                  <c:v>1.0635908804241823</c:v>
                </c:pt>
                <c:pt idx="39">
                  <c:v>1.0607403856355238</c:v>
                </c:pt>
                <c:pt idx="40">
                  <c:v>1.0580045057978329</c:v>
                </c:pt>
                <c:pt idx="41">
                  <c:v>1.0553765126214081</c:v>
                </c:pt>
                <c:pt idx="42">
                  <c:v>1.0528501915830808</c:v>
                </c:pt>
                <c:pt idx="43">
                  <c:v>1.0504197940019737</c:v>
                </c:pt>
                <c:pt idx="44">
                  <c:v>1.0480799943649557</c:v>
                </c:pt>
                <c:pt idx="45">
                  <c:v>1.0458258522445352</c:v>
                </c:pt>
                <c:pt idx="46">
                  <c:v>1.0436527782441365</c:v>
                </c:pt>
                <c:pt idx="47">
                  <c:v>1.041556503483648</c:v>
                </c:pt>
                <c:pt idx="48">
                  <c:v>1.0395330522041843</c:v>
                </c:pt>
                <c:pt idx="49">
                  <c:v>1.0375787171271813</c:v>
                </c:pt>
                <c:pt idx="50">
                  <c:v>1.0356900372508242</c:v>
                </c:pt>
              </c:numCache>
            </c:numRef>
          </c:yVal>
          <c:smooth val="1"/>
        </c:ser>
        <c:ser>
          <c:idx val="3"/>
          <c:order val="3"/>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Flyback_DCM_Calc!$Q$4:$Q$54</c:f>
              <c:numCache>
                <c:formatCode>##0.00E+0</c:formatCode>
                <c:ptCount val="51"/>
                <c:pt idx="0">
                  <c:v>4.0572041296678973</c:v>
                </c:pt>
                <c:pt idx="1">
                  <c:v>4.0572041296678973</c:v>
                </c:pt>
                <c:pt idx="2">
                  <c:v>4.0572041296678973</c:v>
                </c:pt>
                <c:pt idx="3">
                  <c:v>4.0572041296678973</c:v>
                </c:pt>
                <c:pt idx="4">
                  <c:v>4.0572041296678973</c:v>
                </c:pt>
                <c:pt idx="5">
                  <c:v>4.0572041296678973</c:v>
                </c:pt>
                <c:pt idx="6">
                  <c:v>4.0572041296678973</c:v>
                </c:pt>
                <c:pt idx="7">
                  <c:v>4.0572041296678973</c:v>
                </c:pt>
                <c:pt idx="8">
                  <c:v>4.0572041296678973</c:v>
                </c:pt>
                <c:pt idx="9">
                  <c:v>4.0572041296678965</c:v>
                </c:pt>
                <c:pt idx="10">
                  <c:v>4.0572041296678973</c:v>
                </c:pt>
                <c:pt idx="11">
                  <c:v>4.0572041296678973</c:v>
                </c:pt>
                <c:pt idx="12">
                  <c:v>4.0572041296678973</c:v>
                </c:pt>
                <c:pt idx="13">
                  <c:v>4.0572041296678973</c:v>
                </c:pt>
                <c:pt idx="14">
                  <c:v>4.0572041296678973</c:v>
                </c:pt>
                <c:pt idx="15">
                  <c:v>4.0572041296678965</c:v>
                </c:pt>
                <c:pt idx="16">
                  <c:v>4.0572041296678973</c:v>
                </c:pt>
                <c:pt idx="17">
                  <c:v>4.0572041296678973</c:v>
                </c:pt>
                <c:pt idx="18">
                  <c:v>4.0572041296678973</c:v>
                </c:pt>
                <c:pt idx="19">
                  <c:v>4.0572041296678965</c:v>
                </c:pt>
                <c:pt idx="20">
                  <c:v>4.0572041296678965</c:v>
                </c:pt>
                <c:pt idx="21">
                  <c:v>4.0572041296678973</c:v>
                </c:pt>
                <c:pt idx="22">
                  <c:v>4.0572041296678973</c:v>
                </c:pt>
                <c:pt idx="23">
                  <c:v>4.0572041296678965</c:v>
                </c:pt>
                <c:pt idx="24">
                  <c:v>4.0572041296678973</c:v>
                </c:pt>
                <c:pt idx="25">
                  <c:v>4.0572041296678973</c:v>
                </c:pt>
                <c:pt idx="26">
                  <c:v>4.0572041296678973</c:v>
                </c:pt>
                <c:pt idx="27">
                  <c:v>4.0572041296678973</c:v>
                </c:pt>
                <c:pt idx="28">
                  <c:v>4.0572041296678973</c:v>
                </c:pt>
                <c:pt idx="29">
                  <c:v>4.0572041296678973</c:v>
                </c:pt>
                <c:pt idx="30">
                  <c:v>4.0572041296678965</c:v>
                </c:pt>
                <c:pt idx="31">
                  <c:v>4.0572041296678973</c:v>
                </c:pt>
                <c:pt idx="32">
                  <c:v>4.0572041296678973</c:v>
                </c:pt>
                <c:pt idx="33">
                  <c:v>4.0572041296678973</c:v>
                </c:pt>
                <c:pt idx="34">
                  <c:v>4.0572041296678973</c:v>
                </c:pt>
                <c:pt idx="35">
                  <c:v>4.0572041296678973</c:v>
                </c:pt>
                <c:pt idx="36">
                  <c:v>4.0572041296678973</c:v>
                </c:pt>
                <c:pt idx="37">
                  <c:v>4.0572041296678973</c:v>
                </c:pt>
                <c:pt idx="38">
                  <c:v>4.0572041296678973</c:v>
                </c:pt>
                <c:pt idx="39">
                  <c:v>4.0572041296678973</c:v>
                </c:pt>
                <c:pt idx="40">
                  <c:v>4.0572041296678973</c:v>
                </c:pt>
                <c:pt idx="41">
                  <c:v>4.0572041296678973</c:v>
                </c:pt>
                <c:pt idx="42">
                  <c:v>4.0572041296678973</c:v>
                </c:pt>
                <c:pt idx="43">
                  <c:v>4.0572041296678973</c:v>
                </c:pt>
                <c:pt idx="44">
                  <c:v>4.0572041296678973</c:v>
                </c:pt>
                <c:pt idx="45">
                  <c:v>4.0572041296678973</c:v>
                </c:pt>
                <c:pt idx="46">
                  <c:v>4.0572041296678973</c:v>
                </c:pt>
                <c:pt idx="47">
                  <c:v>4.0572041296678973</c:v>
                </c:pt>
                <c:pt idx="48">
                  <c:v>4.0572041296678973</c:v>
                </c:pt>
                <c:pt idx="49">
                  <c:v>4.0572041296678965</c:v>
                </c:pt>
                <c:pt idx="50">
                  <c:v>4.0572041296678973</c:v>
                </c:pt>
              </c:numCache>
            </c:numRef>
          </c:yVal>
          <c:smooth val="1"/>
        </c:ser>
        <c:dLbls>
          <c:showLegendKey val="0"/>
          <c:showVal val="0"/>
          <c:showCatName val="0"/>
          <c:showSerName val="0"/>
          <c:showPercent val="0"/>
          <c:showBubbleSize val="0"/>
        </c:dLbls>
        <c:axId val="180321280"/>
        <c:axId val="180327552"/>
      </c:scatterChart>
      <c:valAx>
        <c:axId val="18032128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0327552"/>
        <c:crosses val="autoZero"/>
        <c:crossBetween val="midCat"/>
      </c:valAx>
      <c:valAx>
        <c:axId val="180327552"/>
        <c:scaling>
          <c:orientation val="minMax"/>
        </c:scaling>
        <c:delete val="0"/>
        <c:axPos val="l"/>
        <c:majorGridlines/>
        <c:title>
          <c:tx>
            <c:rich>
              <a:bodyPr rot="-5400000" vert="horz"/>
              <a:lstStyle/>
              <a:p>
                <a:pPr>
                  <a:defRPr/>
                </a:pPr>
                <a:r>
                  <a:rPr lang="en-US"/>
                  <a:t>IL</a:t>
                </a:r>
                <a:r>
                  <a:rPr lang="en-US" baseline="0"/>
                  <a:t> Peak (A)</a:t>
                </a:r>
                <a:endParaRPr lang="en-US"/>
              </a:p>
            </c:rich>
          </c:tx>
          <c:layout/>
          <c:overlay val="0"/>
        </c:title>
        <c:numFmt formatCode="General" sourceLinked="1"/>
        <c:majorTickMark val="out"/>
        <c:minorTickMark val="none"/>
        <c:tickLblPos val="nextTo"/>
        <c:crossAx val="18032128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'Fly-BB_Calc'!$T$4:$T$54</c:f>
              <c:numCache>
                <c:formatCode>General</c:formatCode>
                <c:ptCount val="51"/>
                <c:pt idx="0">
                  <c:v>1.2862920391656025</c:v>
                </c:pt>
                <c:pt idx="1">
                  <c:v>1.2392090907192224</c:v>
                </c:pt>
                <c:pt idx="2">
                  <c:v>1.199227602637094</c:v>
                </c:pt>
                <c:pt idx="3">
                  <c:v>1.1648665504043616</c:v>
                </c:pt>
                <c:pt idx="4">
                  <c:v>1.135028325629498</c:v>
                </c:pt>
                <c:pt idx="5">
                  <c:v>1.1088824577599463</c:v>
                </c:pt>
                <c:pt idx="6">
                  <c:v>1.0857891856076975</c:v>
                </c:pt>
                <c:pt idx="7">
                  <c:v>1.0652478161609853</c:v>
                </c:pt>
                <c:pt idx="8">
                  <c:v>1.0468609792767973</c:v>
                </c:pt>
                <c:pt idx="9">
                  <c:v>1.0303093527588709</c:v>
                </c:pt>
                <c:pt idx="10">
                  <c:v>1.0153334493083221</c:v>
                </c:pt>
                <c:pt idx="11">
                  <c:v>1.001720267946395</c:v>
                </c:pt>
                <c:pt idx="12">
                  <c:v>0.98929336023804781</c:v>
                </c:pt>
                <c:pt idx="13">
                  <c:v>0.97790533491339793</c:v>
                </c:pt>
                <c:pt idx="14">
                  <c:v>0.96743213081681845</c:v>
                </c:pt>
                <c:pt idx="15">
                  <c:v>0.95776859045224871</c:v>
                </c:pt>
                <c:pt idx="16">
                  <c:v>0.94882500252763047</c:v>
                </c:pt>
                <c:pt idx="17">
                  <c:v>0.9405243750481771</c:v>
                </c:pt>
                <c:pt idx="18">
                  <c:v>0.93280026523359205</c:v>
                </c:pt>
                <c:pt idx="19">
                  <c:v>0.92559503815449384</c:v>
                </c:pt>
                <c:pt idx="20">
                  <c:v>0.91885845856269177</c:v>
                </c:pt>
                <c:pt idx="21">
                  <c:v>0.91254654394129164</c:v>
                </c:pt>
                <c:pt idx="22">
                  <c:v>0.90662062401935328</c:v>
                </c:pt>
                <c:pt idx="23">
                  <c:v>0.9010465647181124</c:v>
                </c:pt>
                <c:pt idx="24">
                  <c:v>0.89579412398885006</c:v>
                </c:pt>
                <c:pt idx="25">
                  <c:v>0.89083641415159864</c:v>
                </c:pt>
                <c:pt idx="26">
                  <c:v>0.88614945077457186</c:v>
                </c:pt>
                <c:pt idx="27">
                  <c:v>0.88171177229323439</c:v>
                </c:pt>
                <c:pt idx="28">
                  <c:v>0.87750411777756909</c:v>
                </c:pt>
                <c:pt idx="29">
                  <c:v>0.87350915275104668</c:v>
                </c:pt>
                <c:pt idx="30">
                  <c:v>0.86971123491752056</c:v>
                </c:pt>
                <c:pt idx="31">
                  <c:v>0.86609621319048746</c:v>
                </c:pt>
                <c:pt idx="32">
                  <c:v>0.86265125463836012</c:v>
                </c:pt>
                <c:pt idx="33">
                  <c:v>0.85936469493136758</c:v>
                </c:pt>
                <c:pt idx="34">
                  <c:v>0.85622590865488291</c:v>
                </c:pt>
                <c:pt idx="35">
                  <c:v>0.85322519648192441</c:v>
                </c:pt>
                <c:pt idx="36">
                  <c:v>0.85035368670617939</c:v>
                </c:pt>
                <c:pt idx="37">
                  <c:v>0.84760324905082562</c:v>
                </c:pt>
                <c:pt idx="38">
                  <c:v>0.84496641900685454</c:v>
                </c:pt>
                <c:pt idx="39">
                  <c:v>0.84243633123250294</c:v>
                </c:pt>
                <c:pt idx="40">
                  <c:v>0.8400066607745621</c:v>
                </c:pt>
                <c:pt idx="41">
                  <c:v>0.83767157106209489</c:v>
                </c:pt>
                <c:pt idx="42">
                  <c:v>0.83542566778076688</c:v>
                </c:pt>
                <c:pt idx="43">
                  <c:v>0.83326395786758434</c:v>
                </c:pt>
                <c:pt idx="44">
                  <c:v>0.83118181297595806</c:v>
                </c:pt>
                <c:pt idx="45">
                  <c:v>0.82917493685354304</c:v>
                </c:pt>
                <c:pt idx="46">
                  <c:v>0.82723933615329259</c:v>
                </c:pt>
                <c:pt idx="47">
                  <c:v>0.82537129426409606</c:v>
                </c:pt>
                <c:pt idx="48">
                  <c:v>0.82356734780329188</c:v>
                </c:pt>
                <c:pt idx="49">
                  <c:v>0.82182426546091158</c:v>
                </c:pt>
                <c:pt idx="50">
                  <c:v>0.8201390289260827</c:v>
                </c:pt>
              </c:numCache>
            </c:numRef>
          </c:yVal>
          <c:smooth val="1"/>
        </c:ser>
        <c:dLbls>
          <c:showLegendKey val="0"/>
          <c:showVal val="0"/>
          <c:showCatName val="0"/>
          <c:showSerName val="0"/>
          <c:showPercent val="0"/>
          <c:showBubbleSize val="0"/>
        </c:dLbls>
        <c:axId val="198774144"/>
        <c:axId val="193713664"/>
      </c:scatterChart>
      <c:valAx>
        <c:axId val="19877414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3713664"/>
        <c:crosses val="autoZero"/>
        <c:crossBetween val="midCat"/>
      </c:valAx>
      <c:valAx>
        <c:axId val="193713664"/>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98774144"/>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'Fly-BB_Calc'!$V$4:$V$54</c:f>
              <c:numCache>
                <c:formatCode>0.0000</c:formatCode>
                <c:ptCount val="51"/>
                <c:pt idx="0">
                  <c:v>0.87322668827753314</c:v>
                </c:pt>
                <c:pt idx="1">
                  <c:v>0.82085158702628658</c:v>
                </c:pt>
                <c:pt idx="2">
                  <c:v>0.7758886119483569</c:v>
                </c:pt>
                <c:pt idx="3">
                  <c:v>0.73682606182331623</c:v>
                </c:pt>
                <c:pt idx="4">
                  <c:v>0.70253980017638984</c:v>
                </c:pt>
                <c:pt idx="5">
                  <c:v>0.67217627894471166</c:v>
                </c:pt>
                <c:pt idx="6">
                  <c:v>0.64507555031522179</c:v>
                </c:pt>
                <c:pt idx="7">
                  <c:v>0.62071917301171853</c:v>
                </c:pt>
                <c:pt idx="8">
                  <c:v>0.59869409823990394</c:v>
                </c:pt>
                <c:pt idx="9">
                  <c:v>0.5786670920868624</c:v>
                </c:pt>
                <c:pt idx="10">
                  <c:v>0.560366272324748</c:v>
                </c:pt>
                <c:pt idx="11">
                  <c:v>0.54356755177622673</c:v>
                </c:pt>
                <c:pt idx="12">
                  <c:v>0.52808453044795023</c:v>
                </c:pt>
                <c:pt idx="13">
                  <c:v>0.513760853660581</c:v>
                </c:pt>
                <c:pt idx="14">
                  <c:v>0.50046436107436421</c:v>
                </c:pt>
                <c:pt idx="15">
                  <c:v>0.4880825548765616</c:v>
                </c:pt>
                <c:pt idx="16">
                  <c:v>0.47651905232834713</c:v>
                </c:pt>
                <c:pt idx="17">
                  <c:v>0.46569078163754041</c:v>
                </c:pt>
                <c:pt idx="18">
                  <c:v>0.45552574533774937</c:v>
                </c:pt>
                <c:pt idx="19">
                  <c:v>0.44596122136127037</c:v>
                </c:pt>
                <c:pt idx="20">
                  <c:v>0.43694230488021574</c:v>
                </c:pt>
                <c:pt idx="21">
                  <c:v>0.42842071778806673</c:v>
                </c:pt>
                <c:pt idx="22">
                  <c:v>0.42035383011097471</c:v>
                </c:pt>
                <c:pt idx="23">
                  <c:v>0.41270385052101172</c:v>
                </c:pt>
                <c:pt idx="24">
                  <c:v>0.40543715274730235</c:v>
                </c:pt>
                <c:pt idx="25">
                  <c:v>0.39852371193690533</c:v>
                </c:pt>
                <c:pt idx="26">
                  <c:v>0.39193663053576017</c:v>
                </c:pt>
                <c:pt idx="27">
                  <c:v>0.38565173749144699</c:v>
                </c:pt>
                <c:pt idx="28">
                  <c:v>0.37964724784914311</c:v>
                </c:pt>
                <c:pt idx="29">
                  <c:v>0.37390347235702875</c:v>
                </c:pt>
                <c:pt idx="30">
                  <c:v>0.36840256869179394</c:v>
                </c:pt>
                <c:pt idx="31">
                  <c:v>0.36312832748808815</c:v>
                </c:pt>
                <c:pt idx="32">
                  <c:v>0.35806598760436259</c:v>
                </c:pt>
                <c:pt idx="33">
                  <c:v>0.35320207605436876</c:v>
                </c:pt>
                <c:pt idx="34">
                  <c:v>0.34852426883379617</c:v>
                </c:pt>
                <c:pt idx="35">
                  <c:v>0.34402126951737017</c:v>
                </c:pt>
                <c:pt idx="36">
                  <c:v>0.33968270302557246</c:v>
                </c:pt>
                <c:pt idx="37">
                  <c:v>0.33549902238711504</c:v>
                </c:pt>
                <c:pt idx="38">
                  <c:v>0.33146142667290729</c:v>
                </c:pt>
                <c:pt idx="39">
                  <c:v>0.32756178856476542</c:v>
                </c:pt>
                <c:pt idx="40">
                  <c:v>0.32379259025958113</c:v>
                </c:pt>
                <c:pt idx="41">
                  <c:v>0.32014686660656927</c:v>
                </c:pt>
                <c:pt idx="42">
                  <c:v>0.31661815453912784</c:v>
                </c:pt>
                <c:pt idx="43">
                  <c:v>0.31320044799979979</c:v>
                </c:pt>
                <c:pt idx="44">
                  <c:v>0.30988815767166555</c:v>
                </c:pt>
                <c:pt idx="45">
                  <c:v>0.30667607492612076</c:v>
                </c:pt>
                <c:pt idx="46">
                  <c:v>0.30355933947856417</c:v>
                </c:pt>
                <c:pt idx="47">
                  <c:v>0.30053341031259884</c:v>
                </c:pt>
                <c:pt idx="48">
                  <c:v>0.29759403949202923</c:v>
                </c:pt>
                <c:pt idx="49">
                  <c:v>0.29473724852992927</c:v>
                </c:pt>
                <c:pt idx="50">
                  <c:v>0.29195930702677181</c:v>
                </c:pt>
              </c:numCache>
            </c:numRef>
          </c:yVal>
          <c:smooth val="1"/>
        </c:ser>
        <c:dLbls>
          <c:showLegendKey val="0"/>
          <c:showVal val="0"/>
          <c:showCatName val="0"/>
          <c:showSerName val="0"/>
          <c:showPercent val="0"/>
          <c:showBubbleSize val="0"/>
        </c:dLbls>
        <c:axId val="198809472"/>
        <c:axId val="198811648"/>
      </c:scatterChart>
      <c:valAx>
        <c:axId val="198809472"/>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8811648"/>
        <c:crosses val="autoZero"/>
        <c:crossBetween val="midCat"/>
      </c:valAx>
      <c:valAx>
        <c:axId val="198811648"/>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98809472"/>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'Fly-BB_Calc'!$CU$4:$CU$54</c:f>
              <c:numCache>
                <c:formatCode>General</c:formatCode>
                <c:ptCount val="51"/>
                <c:pt idx="0">
                  <c:v>0.8771262792327299</c:v>
                </c:pt>
                <c:pt idx="1">
                  <c:v>0.87967628916316221</c:v>
                </c:pt>
                <c:pt idx="2">
                  <c:v>0.88148992795290071</c:v>
                </c:pt>
                <c:pt idx="3">
                  <c:v>0.88275453457755038</c:v>
                </c:pt>
                <c:pt idx="4">
                  <c:v>0.88360163289992566</c:v>
                </c:pt>
                <c:pt idx="5">
                  <c:v>0.88412572414269053</c:v>
                </c:pt>
                <c:pt idx="6">
                  <c:v>0.88439610925053558</c:v>
                </c:pt>
                <c:pt idx="7">
                  <c:v>0.88446453852951101</c:v>
                </c:pt>
                <c:pt idx="8">
                  <c:v>0.88437028693785535</c:v>
                </c:pt>
                <c:pt idx="9">
                  <c:v>0.8841435977900528</c:v>
                </c:pt>
                <c:pt idx="10">
                  <c:v>0.88380806704731441</c:v>
                </c:pt>
                <c:pt idx="11">
                  <c:v>0.88338232451635224</c:v>
                </c:pt>
                <c:pt idx="12">
                  <c:v>0.88288123909556315</c:v>
                </c:pt>
                <c:pt idx="13">
                  <c:v>0.8823167959644016</c:v>
                </c:pt>
                <c:pt idx="14">
                  <c:v>0.88169874389719227</c:v>
                </c:pt>
                <c:pt idx="15">
                  <c:v>0.88103507904552281</c:v>
                </c:pt>
                <c:pt idx="16">
                  <c:v>0.88033241075650959</c:v>
                </c:pt>
                <c:pt idx="17">
                  <c:v>0.879596241197661</c:v>
                </c:pt>
                <c:pt idx="18">
                  <c:v>0.87883118124950488</c:v>
                </c:pt>
                <c:pt idx="19">
                  <c:v>0.87804111875126922</c:v>
                </c:pt>
                <c:pt idx="20">
                  <c:v>0.8772293507576</c:v>
                </c:pt>
                <c:pt idx="21">
                  <c:v>0.87639868835031098</c:v>
                </c:pt>
                <c:pt idx="22">
                  <c:v>0.87555154033253368</c:v>
                </c:pt>
                <c:pt idx="23">
                  <c:v>0.87468998053697755</c:v>
                </c:pt>
                <c:pt idx="24">
                  <c:v>0.87381580231927802</c:v>
                </c:pt>
                <c:pt idx="25">
                  <c:v>0.87293056295465454</c:v>
                </c:pt>
                <c:pt idx="26">
                  <c:v>0.87203562002381318</c:v>
                </c:pt>
                <c:pt idx="27">
                  <c:v>0.87113216140106597</c:v>
                </c:pt>
                <c:pt idx="28">
                  <c:v>0.87022123010094177</c:v>
                </c:pt>
                <c:pt idx="29">
                  <c:v>0.86930374496844875</c:v>
                </c:pt>
                <c:pt idx="30">
                  <c:v>0.86838051799053639</c:v>
                </c:pt>
                <c:pt idx="31">
                  <c:v>0.86745226884623483</c:v>
                </c:pt>
                <c:pt idx="32">
                  <c:v>0.8665196371886843</c:v>
                </c:pt>
                <c:pt idx="33">
                  <c:v>0.86558319305520404</c:v>
                </c:pt>
                <c:pt idx="34">
                  <c:v>0.86464344572527096</c:v>
                </c:pt>
                <c:pt idx="35">
                  <c:v>0.86370085128599083</c:v>
                </c:pt>
                <c:pt idx="36">
                  <c:v>0.86275581911672983</c:v>
                </c:pt>
                <c:pt idx="37">
                  <c:v>0.86180871746630339</c:v>
                </c:pt>
                <c:pt idx="38">
                  <c:v>0.86085987826538835</c:v>
                </c:pt>
                <c:pt idx="39">
                  <c:v>0.85990960129203453</c:v>
                </c:pt>
                <c:pt idx="40">
                  <c:v>0.85895815778806561</c:v>
                </c:pt>
                <c:pt idx="41">
                  <c:v>0.85800579360780582</c:v>
                </c:pt>
                <c:pt idx="42">
                  <c:v>0.85705273196720488</c:v>
                </c:pt>
                <c:pt idx="43">
                  <c:v>0.85609917585046191</c:v>
                </c:pt>
                <c:pt idx="44">
                  <c:v>0.85514531012221795</c:v>
                </c:pt>
                <c:pt idx="45">
                  <c:v>0.85419130338590621</c:v>
                </c:pt>
                <c:pt idx="46">
                  <c:v>0.8532373096226521</c:v>
                </c:pt>
                <c:pt idx="47">
                  <c:v>0.85228346963994517</c:v>
                </c:pt>
                <c:pt idx="48">
                  <c:v>0.85132991235499578</c:v>
                </c:pt>
                <c:pt idx="49">
                  <c:v>0.85037675593405992</c:v>
                </c:pt>
                <c:pt idx="50">
                  <c:v>0.84942410880598496</c:v>
                </c:pt>
              </c:numCache>
            </c:numRef>
          </c:yVal>
          <c:smooth val="1"/>
        </c:ser>
        <c:dLbls>
          <c:showLegendKey val="0"/>
          <c:showVal val="0"/>
          <c:showCatName val="0"/>
          <c:showSerName val="0"/>
          <c:showPercent val="0"/>
          <c:showBubbleSize val="0"/>
        </c:dLbls>
        <c:axId val="198910336"/>
        <c:axId val="198912256"/>
      </c:scatterChart>
      <c:valAx>
        <c:axId val="19891033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8912256"/>
        <c:crosses val="autoZero"/>
        <c:crossBetween val="midCat"/>
      </c:valAx>
      <c:valAx>
        <c:axId val="198912256"/>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98910336"/>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'Fly-BB_Calc'!$CE$4:$CE$54</c:f>
              <c:numCache>
                <c:formatCode>General</c:formatCode>
                <c:ptCount val="51"/>
                <c:pt idx="0">
                  <c:v>3.6672763298277705E-2</c:v>
                </c:pt>
                <c:pt idx="1">
                  <c:v>3.2587872114541325E-2</c:v>
                </c:pt>
                <c:pt idx="2">
                  <c:v>2.9374263113741229E-2</c:v>
                </c:pt>
                <c:pt idx="3">
                  <c:v>2.6800682349633228E-2</c:v>
                </c:pt>
                <c:pt idx="4">
                  <c:v>2.4707802524537994E-2</c:v>
                </c:pt>
                <c:pt idx="5">
                  <c:v>2.2982956716306076E-2</c:v>
                </c:pt>
                <c:pt idx="6">
                  <c:v>2.154465170458696E-2</c:v>
                </c:pt>
                <c:pt idx="7">
                  <c:v>2.0332762421639578E-2</c:v>
                </c:pt>
                <c:pt idx="8">
                  <c:v>1.9302144804563957E-2</c:v>
                </c:pt>
                <c:pt idx="9">
                  <c:v>1.8418369933808139E-2</c:v>
                </c:pt>
                <c:pt idx="10">
                  <c:v>1.7654810895551636E-2</c:v>
                </c:pt>
                <c:pt idx="11">
                  <c:v>1.6990613451656381E-2</c:v>
                </c:pt>
                <c:pt idx="12">
                  <c:v>1.6409256847913712E-2</c:v>
                </c:pt>
                <c:pt idx="13">
                  <c:v>1.5897516476953335E-2</c:v>
                </c:pt>
                <c:pt idx="14">
                  <c:v>1.5444705093366675E-2</c:v>
                </c:pt>
                <c:pt idx="15">
                  <c:v>1.5042110264324705E-2</c:v>
                </c:pt>
                <c:pt idx="16">
                  <c:v>1.4682572127986394E-2</c:v>
                </c:pt>
                <c:pt idx="17">
                  <c:v>1.436016284545483E-2</c:v>
                </c:pt>
                <c:pt idx="18">
                  <c:v>1.4069940688824112E-2</c:v>
                </c:pt>
                <c:pt idx="19">
                  <c:v>1.3807759545528799E-2</c:v>
                </c:pt>
                <c:pt idx="20">
                  <c:v>1.3570120013154361E-2</c:v>
                </c:pt>
                <c:pt idx="21">
                  <c:v>1.335405202181451E-2</c:v>
                </c:pt>
                <c:pt idx="22">
                  <c:v>1.3157021579682099E-2</c:v>
                </c:pt>
                <c:pt idx="23">
                  <c:v>1.2976856137674159E-2</c:v>
                </c:pt>
                <c:pt idx="24">
                  <c:v>1.2811684442810518E-2</c:v>
                </c:pt>
                <c:pt idx="25">
                  <c:v>1.2659887752736835E-2</c:v>
                </c:pt>
                <c:pt idx="26">
                  <c:v>1.2520060023394453E-2</c:v>
                </c:pt>
                <c:pt idx="27">
                  <c:v>1.2390975232016002E-2</c:v>
                </c:pt>
                <c:pt idx="28">
                  <c:v>1.227156041049542E-2</c:v>
                </c:pt>
                <c:pt idx="29">
                  <c:v>1.2160873276507849E-2</c:v>
                </c:pt>
                <c:pt idx="30">
                  <c:v>1.205808358783007E-2</c:v>
                </c:pt>
                <c:pt idx="31">
                  <c:v>1.1962457528101687E-2</c:v>
                </c:pt>
                <c:pt idx="32">
                  <c:v>1.1873344573572052E-2</c:v>
                </c:pt>
                <c:pt idx="33">
                  <c:v>1.1790166400324688E-2</c:v>
                </c:pt>
                <c:pt idx="34">
                  <c:v>1.1712407477547619E-2</c:v>
                </c:pt>
                <c:pt idx="35">
                  <c:v>1.1639607060204216E-2</c:v>
                </c:pt>
                <c:pt idx="36">
                  <c:v>1.1571352348140595E-2</c:v>
                </c:pt>
                <c:pt idx="37">
                  <c:v>1.1507272621405031E-2</c:v>
                </c:pt>
                <c:pt idx="38">
                  <c:v>1.1447034195756453E-2</c:v>
                </c:pt>
                <c:pt idx="39">
                  <c:v>1.1390336069842043E-2</c:v>
                </c:pt>
                <c:pt idx="40">
                  <c:v>1.1336906157743926E-2</c:v>
                </c:pt>
                <c:pt idx="41">
                  <c:v>1.1286498018626908E-2</c:v>
                </c:pt>
                <c:pt idx="42">
                  <c:v>1.1238888009915545E-2</c:v>
                </c:pt>
                <c:pt idx="43">
                  <c:v>1.1193872802455729E-2</c:v>
                </c:pt>
                <c:pt idx="44">
                  <c:v>1.1151267205997592E-2</c:v>
                </c:pt>
                <c:pt idx="45">
                  <c:v>1.1110902261485953E-2</c:v>
                </c:pt>
                <c:pt idx="46">
                  <c:v>1.1072623563390518E-2</c:v>
                </c:pt>
                <c:pt idx="47">
                  <c:v>1.10362897809115E-2</c:v>
                </c:pt>
                <c:pt idx="48">
                  <c:v>1.1001771351566828E-2</c:v>
                </c:pt>
                <c:pt idx="49">
                  <c:v>1.0968949324572668E-2</c:v>
                </c:pt>
                <c:pt idx="50">
                  <c:v>1.0937714334705076E-2</c:v>
                </c:pt>
              </c:numCache>
            </c:numRef>
          </c:yVal>
          <c:smooth val="1"/>
        </c:ser>
        <c:ser>
          <c:idx val="1"/>
          <c:order val="1"/>
          <c:tx>
            <c:v>MOSFET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'Fly-Buck_Calc'!$CK$4:$CK$54</c:f>
              <c:numCache>
                <c:formatCode>General</c:formatCode>
                <c:ptCount val="51"/>
                <c:pt idx="0">
                  <c:v>0.30783478128334096</c:v>
                </c:pt>
                <c:pt idx="1">
                  <c:v>0.29949166066500454</c:v>
                </c:pt>
                <c:pt idx="2">
                  <c:v>0.29475813766168979</c:v>
                </c:pt>
                <c:pt idx="3">
                  <c:v>0.29267616021038523</c:v>
                </c:pt>
                <c:pt idx="4">
                  <c:v>0.29258565807784787</c:v>
                </c:pt>
                <c:pt idx="5">
                  <c:v>0.29401986830088711</c:v>
                </c:pt>
                <c:pt idx="6">
                  <c:v>0.29664117610947927</c:v>
                </c:pt>
                <c:pt idx="7">
                  <c:v>0.30020049193726872</c:v>
                </c:pt>
                <c:pt idx="8">
                  <c:v>0.30451079038081252</c:v>
                </c:pt>
                <c:pt idx="9">
                  <c:v>0.3094294373448242</c:v>
                </c:pt>
                <c:pt idx="10">
                  <c:v>0.3148461213291901</c:v>
                </c:pt>
                <c:pt idx="11">
                  <c:v>0.32067444620448116</c:v>
                </c:pt>
                <c:pt idx="12">
                  <c:v>0.32684596884611872</c:v>
                </c:pt>
                <c:pt idx="13">
                  <c:v>0.33330590159499718</c:v>
                </c:pt>
                <c:pt idx="14">
                  <c:v>0.34000996872013811</c:v>
                </c:pt>
                <c:pt idx="15">
                  <c:v>0.34692207585696433</c:v>
                </c:pt>
                <c:pt idx="16">
                  <c:v>0.35401256072070553</c:v>
                </c:pt>
                <c:pt idx="17">
                  <c:v>0.36125686512164612</c:v>
                </c:pt>
                <c:pt idx="18">
                  <c:v>0.36863451618703325</c:v>
                </c:pt>
                <c:pt idx="19">
                  <c:v>0.37612833716480976</c:v>
                </c:pt>
                <c:pt idx="20">
                  <c:v>0.38372383053068715</c:v>
                </c:pt>
                <c:pt idx="21">
                  <c:v>0.39140869170942205</c:v>
                </c:pt>
                <c:pt idx="22">
                  <c:v>0.39917242273487352</c:v>
                </c:pt>
                <c:pt idx="23">
                  <c:v>0.40700602304655487</c:v>
                </c:pt>
                <c:pt idx="24">
                  <c:v>0.41490174031069116</c:v>
                </c:pt>
                <c:pt idx="25">
                  <c:v>0.42285286830895741</c:v>
                </c:pt>
                <c:pt idx="26">
                  <c:v>0.43085358200168178</c:v>
                </c:pt>
                <c:pt idx="27">
                  <c:v>0.43889880215168542</c:v>
                </c:pt>
                <c:pt idx="28">
                  <c:v>0.44698408360538577</c:v>
                </c:pt>
                <c:pt idx="29">
                  <c:v>0.45510552262172299</c:v>
                </c:pt>
                <c:pt idx="30">
                  <c:v>0.4632596796257723</c:v>
                </c:pt>
                <c:pt idx="31">
                  <c:v>0.47144351452118316</c:v>
                </c:pt>
                <c:pt idx="32">
                  <c:v>0.47965433228098897</c:v>
                </c:pt>
                <c:pt idx="33">
                  <c:v>0.48788973699182137</c:v>
                </c:pt>
                <c:pt idx="34">
                  <c:v>0.49614759288317345</c:v>
                </c:pt>
                <c:pt idx="35">
                  <c:v>0.5044259911541793</c:v>
                </c:pt>
                <c:pt idx="36">
                  <c:v>0.51272322163277295</c:v>
                </c:pt>
                <c:pt idx="37">
                  <c:v>0.52103774847915418</c:v>
                </c:pt>
                <c:pt idx="38">
                  <c:v>0.52936818928718155</c:v>
                </c:pt>
                <c:pt idx="39">
                  <c:v>0.53771329705125037</c:v>
                </c:pt>
                <c:pt idx="40">
                  <c:v>0.54607194455827257</c:v>
                </c:pt>
                <c:pt idx="41">
                  <c:v>0.55444311083907338</c:v>
                </c:pt>
                <c:pt idx="42">
                  <c:v>0.56282586937441204</c:v>
                </c:pt>
                <c:pt idx="43">
                  <c:v>0.57121937780064991</c:v>
                </c:pt>
                <c:pt idx="44">
                  <c:v>0.57962286890103765</c:v>
                </c:pt>
                <c:pt idx="45">
                  <c:v>0.58803564270234665</c:v>
                </c:pt>
                <c:pt idx="46">
                  <c:v>0.59645705952452266</c:v>
                </c:pt>
                <c:pt idx="47">
                  <c:v>0.60488653385425251</c:v>
                </c:pt>
                <c:pt idx="48">
                  <c:v>0.61332352893268161</c:v>
                </c:pt>
                <c:pt idx="49">
                  <c:v>0.62176755196370581</c:v>
                </c:pt>
                <c:pt idx="50">
                  <c:v>0.63021814986282576</c:v>
                </c:pt>
              </c:numCache>
            </c:numRef>
          </c:yVal>
          <c:smooth val="1"/>
        </c:ser>
        <c:ser>
          <c:idx val="2"/>
          <c:order val="2"/>
          <c:tx>
            <c:v>Diode</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'Fly-BB_Calc'!$CR$4:$CR$54</c:f>
              <c:numCache>
                <c:formatCode>General</c:formatCode>
                <c:ptCount val="5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numCache>
            </c:numRef>
          </c:yVal>
          <c:smooth val="1"/>
        </c:ser>
        <c:dLbls>
          <c:showLegendKey val="0"/>
          <c:showVal val="0"/>
          <c:showCatName val="0"/>
          <c:showSerName val="0"/>
          <c:showPercent val="0"/>
          <c:showBubbleSize val="0"/>
        </c:dLbls>
        <c:axId val="199029120"/>
        <c:axId val="199031040"/>
      </c:scatterChart>
      <c:valAx>
        <c:axId val="19902912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9031040"/>
        <c:crosses val="autoZero"/>
        <c:crossBetween val="midCat"/>
      </c:valAx>
      <c:valAx>
        <c:axId val="199031040"/>
        <c:scaling>
          <c:orientation val="minMax"/>
        </c:scaling>
        <c:delete val="0"/>
        <c:axPos val="l"/>
        <c:majorGridlines/>
        <c:title>
          <c:tx>
            <c:rich>
              <a:bodyPr rot="-5400000" vert="horz"/>
              <a:lstStyle/>
              <a:p>
                <a:pPr>
                  <a:defRPr/>
                </a:pPr>
                <a:r>
                  <a:rPr lang="en-US"/>
                  <a:t>Losses</a:t>
                </a:r>
                <a:r>
                  <a:rPr lang="en-US" baseline="0"/>
                  <a:t> (W)</a:t>
                </a:r>
                <a:endParaRPr lang="en-US"/>
              </a:p>
            </c:rich>
          </c:tx>
          <c:layout/>
          <c:overlay val="0"/>
        </c:title>
        <c:numFmt formatCode="##0.0E+0" sourceLinked="0"/>
        <c:majorTickMark val="out"/>
        <c:minorTickMark val="none"/>
        <c:tickLblPos val="nextTo"/>
        <c:crossAx val="199029120"/>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(Designs!$J$35,Designs!$B$32,Designs!$B$37,Designs!$B$42,Designs!$B$47,Designs!$B$52,Designs!$B$57)</c:f>
              <c:numCache>
                <c:formatCode>General</c:formatCode>
                <c:ptCount val="7"/>
                <c:pt idx="0">
                  <c:v>9</c:v>
                </c:pt>
                <c:pt idx="1">
                  <c:v>5</c:v>
                </c:pt>
                <c:pt idx="2">
                  <c:v>5</c:v>
                </c:pt>
                <c:pt idx="3">
                  <c:v>0</c:v>
                </c:pt>
                <c:pt idx="4">
                  <c:v>0</c:v>
                </c:pt>
                <c:pt idx="5">
                  <c:v>0</c:v>
                </c:pt>
                <c:pt idx="6">
                  <c:v>0</c:v>
                </c:pt>
              </c:numCache>
            </c:numRef>
          </c:val>
        </c:ser>
        <c:dLbls>
          <c:showLegendKey val="0"/>
          <c:showVal val="0"/>
          <c:showCatName val="0"/>
          <c:showSerName val="0"/>
          <c:showPercent val="0"/>
          <c:showBubbleSize val="0"/>
        </c:dLbls>
        <c:gapWidth val="150"/>
        <c:axId val="199412352"/>
        <c:axId val="199414144"/>
      </c:barChart>
      <c:catAx>
        <c:axId val="199412352"/>
        <c:scaling>
          <c:orientation val="minMax"/>
        </c:scaling>
        <c:delete val="0"/>
        <c:axPos val="b"/>
        <c:majorGridlines/>
        <c:majorTickMark val="out"/>
        <c:minorTickMark val="none"/>
        <c:tickLblPos val="nextTo"/>
        <c:crossAx val="199414144"/>
        <c:crosses val="autoZero"/>
        <c:auto val="1"/>
        <c:lblAlgn val="ctr"/>
        <c:lblOffset val="100"/>
        <c:noMultiLvlLbl val="0"/>
      </c:catAx>
      <c:valAx>
        <c:axId val="199414144"/>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199412352"/>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'Fly-BB_Calc'!$CE$4:$CE$54</c:f>
              <c:numCache>
                <c:formatCode>General</c:formatCode>
                <c:ptCount val="51"/>
                <c:pt idx="0">
                  <c:v>3.6672763298277705E-2</c:v>
                </c:pt>
                <c:pt idx="1">
                  <c:v>3.2587872114541325E-2</c:v>
                </c:pt>
                <c:pt idx="2">
                  <c:v>2.9374263113741229E-2</c:v>
                </c:pt>
                <c:pt idx="3">
                  <c:v>2.6800682349633228E-2</c:v>
                </c:pt>
                <c:pt idx="4">
                  <c:v>2.4707802524537994E-2</c:v>
                </c:pt>
                <c:pt idx="5">
                  <c:v>2.2982956716306076E-2</c:v>
                </c:pt>
                <c:pt idx="6">
                  <c:v>2.154465170458696E-2</c:v>
                </c:pt>
                <c:pt idx="7">
                  <c:v>2.0332762421639578E-2</c:v>
                </c:pt>
                <c:pt idx="8">
                  <c:v>1.9302144804563957E-2</c:v>
                </c:pt>
                <c:pt idx="9">
                  <c:v>1.8418369933808139E-2</c:v>
                </c:pt>
                <c:pt idx="10">
                  <c:v>1.7654810895551636E-2</c:v>
                </c:pt>
                <c:pt idx="11">
                  <c:v>1.6990613451656381E-2</c:v>
                </c:pt>
                <c:pt idx="12">
                  <c:v>1.6409256847913712E-2</c:v>
                </c:pt>
                <c:pt idx="13">
                  <c:v>1.5897516476953335E-2</c:v>
                </c:pt>
                <c:pt idx="14">
                  <c:v>1.5444705093366675E-2</c:v>
                </c:pt>
                <c:pt idx="15">
                  <c:v>1.5042110264324705E-2</c:v>
                </c:pt>
                <c:pt idx="16">
                  <c:v>1.4682572127986394E-2</c:v>
                </c:pt>
                <c:pt idx="17">
                  <c:v>1.436016284545483E-2</c:v>
                </c:pt>
                <c:pt idx="18">
                  <c:v>1.4069940688824112E-2</c:v>
                </c:pt>
                <c:pt idx="19">
                  <c:v>1.3807759545528799E-2</c:v>
                </c:pt>
                <c:pt idx="20">
                  <c:v>1.3570120013154361E-2</c:v>
                </c:pt>
                <c:pt idx="21">
                  <c:v>1.335405202181451E-2</c:v>
                </c:pt>
                <c:pt idx="22">
                  <c:v>1.3157021579682099E-2</c:v>
                </c:pt>
                <c:pt idx="23">
                  <c:v>1.2976856137674159E-2</c:v>
                </c:pt>
                <c:pt idx="24">
                  <c:v>1.2811684442810518E-2</c:v>
                </c:pt>
                <c:pt idx="25">
                  <c:v>1.2659887752736835E-2</c:v>
                </c:pt>
                <c:pt idx="26">
                  <c:v>1.2520060023394453E-2</c:v>
                </c:pt>
                <c:pt idx="27">
                  <c:v>1.2390975232016002E-2</c:v>
                </c:pt>
                <c:pt idx="28">
                  <c:v>1.227156041049542E-2</c:v>
                </c:pt>
                <c:pt idx="29">
                  <c:v>1.2160873276507849E-2</c:v>
                </c:pt>
                <c:pt idx="30">
                  <c:v>1.205808358783007E-2</c:v>
                </c:pt>
                <c:pt idx="31">
                  <c:v>1.1962457528101687E-2</c:v>
                </c:pt>
                <c:pt idx="32">
                  <c:v>1.1873344573572052E-2</c:v>
                </c:pt>
                <c:pt idx="33">
                  <c:v>1.1790166400324688E-2</c:v>
                </c:pt>
                <c:pt idx="34">
                  <c:v>1.1712407477547619E-2</c:v>
                </c:pt>
                <c:pt idx="35">
                  <c:v>1.1639607060204216E-2</c:v>
                </c:pt>
                <c:pt idx="36">
                  <c:v>1.1571352348140595E-2</c:v>
                </c:pt>
                <c:pt idx="37">
                  <c:v>1.1507272621405031E-2</c:v>
                </c:pt>
                <c:pt idx="38">
                  <c:v>1.1447034195756453E-2</c:v>
                </c:pt>
                <c:pt idx="39">
                  <c:v>1.1390336069842043E-2</c:v>
                </c:pt>
                <c:pt idx="40">
                  <c:v>1.1336906157743926E-2</c:v>
                </c:pt>
                <c:pt idx="41">
                  <c:v>1.1286498018626908E-2</c:v>
                </c:pt>
                <c:pt idx="42">
                  <c:v>1.1238888009915545E-2</c:v>
                </c:pt>
                <c:pt idx="43">
                  <c:v>1.1193872802455729E-2</c:v>
                </c:pt>
                <c:pt idx="44">
                  <c:v>1.1151267205997592E-2</c:v>
                </c:pt>
                <c:pt idx="45">
                  <c:v>1.1110902261485953E-2</c:v>
                </c:pt>
                <c:pt idx="46">
                  <c:v>1.1072623563390518E-2</c:v>
                </c:pt>
                <c:pt idx="47">
                  <c:v>1.10362897809115E-2</c:v>
                </c:pt>
                <c:pt idx="48">
                  <c:v>1.1001771351566828E-2</c:v>
                </c:pt>
                <c:pt idx="49">
                  <c:v>1.0968949324572668E-2</c:v>
                </c:pt>
                <c:pt idx="50">
                  <c:v>1.0937714334705076E-2</c:v>
                </c:pt>
              </c:numCache>
            </c:numRef>
          </c:yVal>
          <c:smooth val="1"/>
        </c:ser>
        <c:ser>
          <c:idx val="1"/>
          <c:order val="1"/>
          <c:tx>
            <c:v>MOSFET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'Fly-Buck_Calc'!$CK$4:$CK$54</c:f>
              <c:numCache>
                <c:formatCode>General</c:formatCode>
                <c:ptCount val="51"/>
                <c:pt idx="0">
                  <c:v>0.30783478128334096</c:v>
                </c:pt>
                <c:pt idx="1">
                  <c:v>0.29949166066500454</c:v>
                </c:pt>
                <c:pt idx="2">
                  <c:v>0.29475813766168979</c:v>
                </c:pt>
                <c:pt idx="3">
                  <c:v>0.29267616021038523</c:v>
                </c:pt>
                <c:pt idx="4">
                  <c:v>0.29258565807784787</c:v>
                </c:pt>
                <c:pt idx="5">
                  <c:v>0.29401986830088711</c:v>
                </c:pt>
                <c:pt idx="6">
                  <c:v>0.29664117610947927</c:v>
                </c:pt>
                <c:pt idx="7">
                  <c:v>0.30020049193726872</c:v>
                </c:pt>
                <c:pt idx="8">
                  <c:v>0.30451079038081252</c:v>
                </c:pt>
                <c:pt idx="9">
                  <c:v>0.3094294373448242</c:v>
                </c:pt>
                <c:pt idx="10">
                  <c:v>0.3148461213291901</c:v>
                </c:pt>
                <c:pt idx="11">
                  <c:v>0.32067444620448116</c:v>
                </c:pt>
                <c:pt idx="12">
                  <c:v>0.32684596884611872</c:v>
                </c:pt>
                <c:pt idx="13">
                  <c:v>0.33330590159499718</c:v>
                </c:pt>
                <c:pt idx="14">
                  <c:v>0.34000996872013811</c:v>
                </c:pt>
                <c:pt idx="15">
                  <c:v>0.34692207585696433</c:v>
                </c:pt>
                <c:pt idx="16">
                  <c:v>0.35401256072070553</c:v>
                </c:pt>
                <c:pt idx="17">
                  <c:v>0.36125686512164612</c:v>
                </c:pt>
                <c:pt idx="18">
                  <c:v>0.36863451618703325</c:v>
                </c:pt>
                <c:pt idx="19">
                  <c:v>0.37612833716480976</c:v>
                </c:pt>
                <c:pt idx="20">
                  <c:v>0.38372383053068715</c:v>
                </c:pt>
                <c:pt idx="21">
                  <c:v>0.39140869170942205</c:v>
                </c:pt>
                <c:pt idx="22">
                  <c:v>0.39917242273487352</c:v>
                </c:pt>
                <c:pt idx="23">
                  <c:v>0.40700602304655487</c:v>
                </c:pt>
                <c:pt idx="24">
                  <c:v>0.41490174031069116</c:v>
                </c:pt>
                <c:pt idx="25">
                  <c:v>0.42285286830895741</c:v>
                </c:pt>
                <c:pt idx="26">
                  <c:v>0.43085358200168178</c:v>
                </c:pt>
                <c:pt idx="27">
                  <c:v>0.43889880215168542</c:v>
                </c:pt>
                <c:pt idx="28">
                  <c:v>0.44698408360538577</c:v>
                </c:pt>
                <c:pt idx="29">
                  <c:v>0.45510552262172299</c:v>
                </c:pt>
                <c:pt idx="30">
                  <c:v>0.4632596796257723</c:v>
                </c:pt>
                <c:pt idx="31">
                  <c:v>0.47144351452118316</c:v>
                </c:pt>
                <c:pt idx="32">
                  <c:v>0.47965433228098897</c:v>
                </c:pt>
                <c:pt idx="33">
                  <c:v>0.48788973699182137</c:v>
                </c:pt>
                <c:pt idx="34">
                  <c:v>0.49614759288317345</c:v>
                </c:pt>
                <c:pt idx="35">
                  <c:v>0.5044259911541793</c:v>
                </c:pt>
                <c:pt idx="36">
                  <c:v>0.51272322163277295</c:v>
                </c:pt>
                <c:pt idx="37">
                  <c:v>0.52103774847915418</c:v>
                </c:pt>
                <c:pt idx="38">
                  <c:v>0.52936818928718155</c:v>
                </c:pt>
                <c:pt idx="39">
                  <c:v>0.53771329705125037</c:v>
                </c:pt>
                <c:pt idx="40">
                  <c:v>0.54607194455827257</c:v>
                </c:pt>
                <c:pt idx="41">
                  <c:v>0.55444311083907338</c:v>
                </c:pt>
                <c:pt idx="42">
                  <c:v>0.56282586937441204</c:v>
                </c:pt>
                <c:pt idx="43">
                  <c:v>0.57121937780064991</c:v>
                </c:pt>
                <c:pt idx="44">
                  <c:v>0.57962286890103765</c:v>
                </c:pt>
                <c:pt idx="45">
                  <c:v>0.58803564270234665</c:v>
                </c:pt>
                <c:pt idx="46">
                  <c:v>0.59645705952452266</c:v>
                </c:pt>
                <c:pt idx="47">
                  <c:v>0.60488653385425251</c:v>
                </c:pt>
                <c:pt idx="48">
                  <c:v>0.61332352893268161</c:v>
                </c:pt>
                <c:pt idx="49">
                  <c:v>0.62176755196370581</c:v>
                </c:pt>
                <c:pt idx="50">
                  <c:v>0.63021814986282576</c:v>
                </c:pt>
              </c:numCache>
            </c:numRef>
          </c:yVal>
          <c:smooth val="1"/>
        </c:ser>
        <c:ser>
          <c:idx val="2"/>
          <c:order val="2"/>
          <c:tx>
            <c:v>Diode</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'Fly-BB_Calc'!$CR$4:$CR$54</c:f>
              <c:numCache>
                <c:formatCode>General</c:formatCode>
                <c:ptCount val="5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numCache>
            </c:numRef>
          </c:yVal>
          <c:smooth val="1"/>
        </c:ser>
        <c:dLbls>
          <c:showLegendKey val="0"/>
          <c:showVal val="0"/>
          <c:showCatName val="0"/>
          <c:showSerName val="0"/>
          <c:showPercent val="0"/>
          <c:showBubbleSize val="0"/>
        </c:dLbls>
        <c:axId val="199440256"/>
        <c:axId val="199454720"/>
      </c:scatterChart>
      <c:valAx>
        <c:axId val="19944025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9454720"/>
        <c:crosses val="autoZero"/>
        <c:crossBetween val="midCat"/>
      </c:valAx>
      <c:valAx>
        <c:axId val="199454720"/>
        <c:scaling>
          <c:orientation val="minMax"/>
        </c:scaling>
        <c:delete val="0"/>
        <c:axPos val="l"/>
        <c:majorGridlines/>
        <c:title>
          <c:tx>
            <c:rich>
              <a:bodyPr rot="-5400000" vert="horz"/>
              <a:lstStyle/>
              <a:p>
                <a:pPr>
                  <a:defRPr/>
                </a:pPr>
                <a:r>
                  <a:rPr lang="en-US"/>
                  <a:t>Losses</a:t>
                </a:r>
                <a:r>
                  <a:rPr lang="en-US" baseline="0"/>
                  <a:t> (W)</a:t>
                </a:r>
                <a:endParaRPr lang="en-US"/>
              </a:p>
            </c:rich>
          </c:tx>
          <c:layout/>
          <c:overlay val="0"/>
        </c:title>
        <c:numFmt formatCode="##0.0E+0" sourceLinked="0"/>
        <c:majorTickMark val="out"/>
        <c:minorTickMark val="none"/>
        <c:tickLblPos val="nextTo"/>
        <c:crossAx val="199440256"/>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layout/>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Flyback_CCM_Calc!$CW$4:$CW$54</c:f>
              <c:numCache>
                <c:formatCode>General</c:formatCode>
                <c:ptCount val="51"/>
                <c:pt idx="0">
                  <c:v>17.488964346349746</c:v>
                </c:pt>
                <c:pt idx="1">
                  <c:v>18.268964346349748</c:v>
                </c:pt>
                <c:pt idx="2">
                  <c:v>19.048964346349749</c:v>
                </c:pt>
                <c:pt idx="3">
                  <c:v>19.828964346349746</c:v>
                </c:pt>
                <c:pt idx="4">
                  <c:v>20.608964346349747</c:v>
                </c:pt>
                <c:pt idx="5">
                  <c:v>21.388964346349745</c:v>
                </c:pt>
                <c:pt idx="6">
                  <c:v>22.168964346349746</c:v>
                </c:pt>
                <c:pt idx="7">
                  <c:v>22.948964346349747</c:v>
                </c:pt>
                <c:pt idx="8">
                  <c:v>23.728964346349748</c:v>
                </c:pt>
                <c:pt idx="9">
                  <c:v>24.508964346349746</c:v>
                </c:pt>
                <c:pt idx="10">
                  <c:v>25.288964346349747</c:v>
                </c:pt>
                <c:pt idx="11">
                  <c:v>26.068964346349745</c:v>
                </c:pt>
                <c:pt idx="12">
                  <c:v>26.848964346349746</c:v>
                </c:pt>
                <c:pt idx="13">
                  <c:v>27.628964346349747</c:v>
                </c:pt>
                <c:pt idx="14">
                  <c:v>28.408964346349748</c:v>
                </c:pt>
                <c:pt idx="15">
                  <c:v>29.188964346349749</c:v>
                </c:pt>
                <c:pt idx="16">
                  <c:v>29.968964346349747</c:v>
                </c:pt>
                <c:pt idx="17">
                  <c:v>30.748964346349744</c:v>
                </c:pt>
                <c:pt idx="18">
                  <c:v>31.528964346349746</c:v>
                </c:pt>
                <c:pt idx="19">
                  <c:v>32.308964346349747</c:v>
                </c:pt>
                <c:pt idx="20">
                  <c:v>33.088964346349748</c:v>
                </c:pt>
                <c:pt idx="21">
                  <c:v>33.868964346349742</c:v>
                </c:pt>
                <c:pt idx="22">
                  <c:v>34.648964346349743</c:v>
                </c:pt>
                <c:pt idx="23">
                  <c:v>35.428964346349744</c:v>
                </c:pt>
                <c:pt idx="24">
                  <c:v>36.208964346349745</c:v>
                </c:pt>
                <c:pt idx="25">
                  <c:v>36.988964346349746</c:v>
                </c:pt>
                <c:pt idx="26">
                  <c:v>37.768964346349748</c:v>
                </c:pt>
                <c:pt idx="27">
                  <c:v>38.548964346349749</c:v>
                </c:pt>
                <c:pt idx="28">
                  <c:v>39.32896434634975</c:v>
                </c:pt>
                <c:pt idx="29">
                  <c:v>40.108964346349751</c:v>
                </c:pt>
                <c:pt idx="30">
                  <c:v>40.888964346349752</c:v>
                </c:pt>
                <c:pt idx="31">
                  <c:v>41.668964346349746</c:v>
                </c:pt>
                <c:pt idx="32">
                  <c:v>42.448964346349747</c:v>
                </c:pt>
                <c:pt idx="33">
                  <c:v>43.228964346349748</c:v>
                </c:pt>
                <c:pt idx="34">
                  <c:v>44.008964346349742</c:v>
                </c:pt>
                <c:pt idx="35">
                  <c:v>44.788964346349744</c:v>
                </c:pt>
                <c:pt idx="36">
                  <c:v>45.568964346349745</c:v>
                </c:pt>
                <c:pt idx="37">
                  <c:v>46.348964346349746</c:v>
                </c:pt>
                <c:pt idx="38">
                  <c:v>47.128964346349747</c:v>
                </c:pt>
                <c:pt idx="39">
                  <c:v>47.908964346349748</c:v>
                </c:pt>
                <c:pt idx="40">
                  <c:v>48.688964346349749</c:v>
                </c:pt>
                <c:pt idx="41">
                  <c:v>49.46896434634975</c:v>
                </c:pt>
                <c:pt idx="42">
                  <c:v>50.248964346349744</c:v>
                </c:pt>
                <c:pt idx="43">
                  <c:v>51.028964346349746</c:v>
                </c:pt>
                <c:pt idx="44">
                  <c:v>51.808964346349747</c:v>
                </c:pt>
                <c:pt idx="45">
                  <c:v>52.588964346349748</c:v>
                </c:pt>
                <c:pt idx="46">
                  <c:v>53.368964346349749</c:v>
                </c:pt>
                <c:pt idx="47">
                  <c:v>54.14896434634975</c:v>
                </c:pt>
                <c:pt idx="48">
                  <c:v>54.928964346349744</c:v>
                </c:pt>
                <c:pt idx="49">
                  <c:v>55.708964346349745</c:v>
                </c:pt>
                <c:pt idx="50">
                  <c:v>56.488964346349746</c:v>
                </c:pt>
              </c:numCache>
            </c:numRef>
          </c:yVal>
          <c:smooth val="1"/>
        </c:ser>
        <c:ser>
          <c:idx val="0"/>
          <c:order val="1"/>
          <c:tx>
            <c:v>Buck Derived</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'Fly-Buck_Calc'!$CV$4:$CV$54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yVal>
          <c:smooth val="1"/>
        </c:ser>
        <c:dLbls>
          <c:showLegendKey val="0"/>
          <c:showVal val="0"/>
          <c:showCatName val="0"/>
          <c:showSerName val="0"/>
          <c:showPercent val="0"/>
          <c:showBubbleSize val="0"/>
        </c:dLbls>
        <c:axId val="199713920"/>
        <c:axId val="199715840"/>
      </c:scatterChart>
      <c:valAx>
        <c:axId val="199713920"/>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199715840"/>
        <c:crosses val="autoZero"/>
        <c:crossBetween val="midCat"/>
      </c:valAx>
      <c:valAx>
        <c:axId val="199715840"/>
        <c:scaling>
          <c:orientation val="minMax"/>
        </c:scaling>
        <c:delete val="0"/>
        <c:axPos val="l"/>
        <c:majorGridlines/>
        <c:title>
          <c:tx>
            <c:rich>
              <a:bodyPr rot="-5400000" vert="horz"/>
              <a:lstStyle/>
              <a:p>
                <a:pPr>
                  <a:defRPr/>
                </a:pPr>
                <a:r>
                  <a:rPr lang="en-US"/>
                  <a:t>Switch</a:t>
                </a:r>
                <a:r>
                  <a:rPr lang="en-US" baseline="0"/>
                  <a:t> Node Voltage (V)</a:t>
                </a:r>
                <a:endParaRPr lang="en-US"/>
              </a:p>
            </c:rich>
          </c:tx>
          <c:layout/>
          <c:overlay val="0"/>
        </c:title>
        <c:numFmt formatCode="General" sourceLinked="1"/>
        <c:majorTickMark val="out"/>
        <c:minorTickMark val="none"/>
        <c:tickLblPos val="nextTo"/>
        <c:crossAx val="199713920"/>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layout/>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'Fly-Buck_Calc'!$CV$4:$CV$54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yVal>
          <c:smooth val="1"/>
        </c:ser>
        <c:ser>
          <c:idx val="1"/>
          <c:order val="1"/>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Flyback_CCM_Calc!$CX$4:$CX$54</c:f>
              <c:numCache>
                <c:formatCode>General</c:formatCode>
                <c:ptCount val="51"/>
                <c:pt idx="0">
                  <c:v>87.889556725115369</c:v>
                </c:pt>
                <c:pt idx="1">
                  <c:v>86.199483150552851</c:v>
                </c:pt>
                <c:pt idx="2">
                  <c:v>84.885993638406887</c:v>
                </c:pt>
                <c:pt idx="3">
                  <c:v>83.870128238224595</c:v>
                </c:pt>
                <c:pt idx="4">
                  <c:v>83.093426406574892</c:v>
                </c:pt>
                <c:pt idx="5">
                  <c:v>82.51170055034973</c:v>
                </c:pt>
                <c:pt idx="6">
                  <c:v>82.090945309539819</c:v>
                </c:pt>
                <c:pt idx="7">
                  <c:v>81.80457489743111</c:v>
                </c:pt>
                <c:pt idx="8">
                  <c:v>81.631511823767795</c:v>
                </c:pt>
                <c:pt idx="9">
                  <c:v>81.554836204838125</c:v>
                </c:pt>
                <c:pt idx="10">
                  <c:v>81.560813018395308</c:v>
                </c:pt>
                <c:pt idx="11">
                  <c:v>81.638179591179608</c:v>
                </c:pt>
                <c:pt idx="12">
                  <c:v>81.777615685660834</c:v>
                </c:pt>
                <c:pt idx="13">
                  <c:v>81.97134391445654</c:v>
                </c:pt>
                <c:pt idx="14">
                  <c:v>82.212824622857283</c:v>
                </c:pt>
                <c:pt idx="15">
                  <c:v>82.496520217477567</c:v>
                </c:pt>
                <c:pt idx="16">
                  <c:v>82.817711208586033</c:v>
                </c:pt>
                <c:pt idx="17">
                  <c:v>83.172351219888526</c:v>
                </c:pt>
                <c:pt idx="18">
                  <c:v>83.556951683257807</c:v>
                </c:pt>
                <c:pt idx="19">
                  <c:v>83.968489376426817</c:v>
                </c:pt>
                <c:pt idx="20">
                  <c:v>84.404331703955847</c:v>
                </c:pt>
                <c:pt idx="21">
                  <c:v>84.86217588082792</c:v>
                </c:pt>
                <c:pt idx="22">
                  <c:v>85.339999098196273</c:v>
                </c:pt>
                <c:pt idx="23">
                  <c:v>85.836017430431838</c:v>
                </c:pt>
                <c:pt idx="24">
                  <c:v>86.348651749542711</c:v>
                </c:pt>
                <c:pt idx="25">
                  <c:v>86.876499294643097</c:v>
                </c:pt>
                <c:pt idx="26">
                  <c:v>87.418309833914094</c:v>
                </c:pt>
                <c:pt idx="27">
                  <c:v>87.972965578319005</c:v>
                </c:pt>
                <c:pt idx="28">
                  <c:v>88.539464177448849</c:v>
                </c:pt>
                <c:pt idx="29">
                  <c:v>89.116904260830424</c:v>
                </c:pt>
                <c:pt idx="30">
                  <c:v>89.70447309204225</c:v>
                </c:pt>
                <c:pt idx="31">
                  <c:v>90.301435984886069</c:v>
                </c:pt>
                <c:pt idx="32">
                  <c:v>90.907127195746625</c:v>
                </c:pt>
                <c:pt idx="33">
                  <c:v>91.52094205797809</c:v>
                </c:pt>
                <c:pt idx="34">
                  <c:v>92.142330165587765</c:v>
                </c:pt>
                <c:pt idx="35">
                  <c:v>92.770789446861301</c:v>
                </c:pt>
                <c:pt idx="36">
                  <c:v>93.405860995593287</c:v>
                </c:pt>
                <c:pt idx="37">
                  <c:v>94.047124549568039</c:v>
                </c:pt>
                <c:pt idx="38">
                  <c:v>94.694194523896186</c:v>
                </c:pt>
                <c:pt idx="39">
                  <c:v>95.346716521557198</c:v>
                </c:pt>
                <c:pt idx="40">
                  <c:v>96.004364255650245</c:v>
                </c:pt>
                <c:pt idx="41">
                  <c:v>96.666836827912419</c:v>
                </c:pt>
                <c:pt idx="42">
                  <c:v>97.333856316418661</c:v>
                </c:pt>
                <c:pt idx="43">
                  <c:v>98.005165632344529</c:v>
                </c:pt>
                <c:pt idx="44">
                  <c:v>98.680526611502501</c:v>
                </c:pt>
                <c:pt idx="45">
                  <c:v>99.359718311258376</c:v>
                </c:pt>
                <c:pt idx="46">
                  <c:v>100.0425354875578</c:v>
                </c:pt>
                <c:pt idx="47">
                  <c:v>100.72878723027841</c:v>
                </c:pt>
                <c:pt idx="48">
                  <c:v>101.41829573807762</c:v>
                </c:pt>
                <c:pt idx="49">
                  <c:v>102.11089521641779</c:v>
                </c:pt>
                <c:pt idx="50">
                  <c:v>102.80643088459239</c:v>
                </c:pt>
              </c:numCache>
            </c:numRef>
          </c:yVal>
          <c:smooth val="1"/>
        </c:ser>
        <c:dLbls>
          <c:showLegendKey val="0"/>
          <c:showVal val="0"/>
          <c:showCatName val="0"/>
          <c:showSerName val="0"/>
          <c:showPercent val="0"/>
          <c:showBubbleSize val="0"/>
        </c:dLbls>
        <c:axId val="199557504"/>
        <c:axId val="199559424"/>
      </c:scatterChart>
      <c:valAx>
        <c:axId val="19955750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99559424"/>
        <c:crosses val="autoZero"/>
        <c:crossBetween val="midCat"/>
      </c:valAx>
      <c:valAx>
        <c:axId val="199559424"/>
        <c:scaling>
          <c:orientation val="minMax"/>
        </c:scaling>
        <c:delete val="0"/>
        <c:axPos val="l"/>
        <c:majorGridlines/>
        <c:title>
          <c:tx>
            <c:rich>
              <a:bodyPr rot="-5400000" vert="horz"/>
              <a:lstStyle/>
              <a:p>
                <a:pPr>
                  <a:defRPr/>
                </a:pPr>
                <a:r>
                  <a:rPr lang="en-US"/>
                  <a:t>Switch</a:t>
                </a:r>
                <a:r>
                  <a:rPr lang="en-US" baseline="0"/>
                  <a:t> Node Voltage (V)</a:t>
                </a:r>
                <a:endParaRPr lang="en-US"/>
              </a:p>
            </c:rich>
          </c:tx>
          <c:layout/>
          <c:overlay val="0"/>
        </c:title>
        <c:numFmt formatCode="General" sourceLinked="1"/>
        <c:majorTickMark val="out"/>
        <c:minorTickMark val="none"/>
        <c:tickLblPos val="nextTo"/>
        <c:crossAx val="199557504"/>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layout/>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0"/>
          <c:order val="0"/>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Flyback_CCM_Calc!$CS$4:$CS$54</c:f>
              <c:numCache>
                <c:formatCode>##0.0E+0</c:formatCode>
                <c:ptCount val="51"/>
                <c:pt idx="0">
                  <c:v>0.34000113959307376</c:v>
                </c:pt>
                <c:pt idx="1">
                  <c:v>0.31632779473906636</c:v>
                </c:pt>
                <c:pt idx="2">
                  <c:v>0.29690830454200751</c:v>
                </c:pt>
                <c:pt idx="3">
                  <c:v>0.2807173449672612</c:v>
                </c:pt>
                <c:pt idx="4">
                  <c:v>0.26702885307173951</c:v>
                </c:pt>
                <c:pt idx="5">
                  <c:v>0.25531553283829511</c:v>
                </c:pt>
                <c:pt idx="6">
                  <c:v>0.24518597094687658</c:v>
                </c:pt>
                <c:pt idx="7">
                  <c:v>0.23634400747378939</c:v>
                </c:pt>
                <c:pt idx="8">
                  <c:v>0.22856174180817013</c:v>
                </c:pt>
                <c:pt idx="9">
                  <c:v>0.22166115110127718</c:v>
                </c:pt>
                <c:pt idx="10">
                  <c:v>0.21550129710148616</c:v>
                </c:pt>
                <c:pt idx="11">
                  <c:v>0.20996924697421157</c:v>
                </c:pt>
                <c:pt idx="12">
                  <c:v>0.20497351590005652</c:v>
                </c:pt>
                <c:pt idx="13">
                  <c:v>0.20043925534858548</c:v>
                </c:pt>
                <c:pt idx="14">
                  <c:v>0.19630467110598165</c:v>
                </c:pt>
                <c:pt idx="15">
                  <c:v>0.1925183215126193</c:v>
                </c:pt>
                <c:pt idx="16">
                  <c:v>0.18903705495211479</c:v>
                </c:pt>
                <c:pt idx="17">
                  <c:v>0.18582441783275919</c:v>
                </c:pt>
                <c:pt idx="18">
                  <c:v>0.18284941313418179</c:v>
                </c:pt>
                <c:pt idx="19">
                  <c:v>0.18008552314200901</c:v>
                </c:pt>
                <c:pt idx="20">
                  <c:v>0.17750993338009258</c:v>
                </c:pt>
                <c:pt idx="21">
                  <c:v>0.17510291127241423</c:v>
                </c:pt>
                <c:pt idx="22">
                  <c:v>0.17284730488610892</c:v>
                </c:pt>
                <c:pt idx="23">
                  <c:v>0.17072813566060391</c:v>
                </c:pt>
                <c:pt idx="24">
                  <c:v>0.16873226528541105</c:v>
                </c:pt>
                <c:pt idx="25">
                  <c:v>0.16684812151354256</c:v>
                </c:pt>
                <c:pt idx="26">
                  <c:v>0.16506547114768075</c:v>
                </c:pt>
                <c:pt idx="27">
                  <c:v>0.16337523103337118</c:v>
                </c:pt>
                <c:pt idx="28">
                  <c:v>0.16176930986500268</c:v>
                </c:pt>
                <c:pt idx="29">
                  <c:v>0.16024047511882009</c:v>
                </c:pt>
                <c:pt idx="30">
                  <c:v>0.15878224059006468</c:v>
                </c:pt>
                <c:pt idx="31">
                  <c:v>0.15738877091413558</c:v>
                </c:pt>
                <c:pt idx="32">
                  <c:v>0.15605480015725276</c:v>
                </c:pt>
                <c:pt idx="33">
                  <c:v>0.15477556211709459</c:v>
                </c:pt>
                <c:pt idx="34">
                  <c:v>0.15354673041305014</c:v>
                </c:pt>
                <c:pt idx="35">
                  <c:v>0.15236436679523988</c:v>
                </c:pt>
                <c:pt idx="36">
                  <c:v>0.15122487638114732</c:v>
                </c:pt>
                <c:pt idx="37">
                  <c:v>0.15012496875367723</c:v>
                </c:pt>
                <c:pt idx="38">
                  <c:v>0.14906162403631229</c:v>
                </c:pt>
                <c:pt idx="39">
                  <c:v>0.14803206320874324</c:v>
                </c:pt>
                <c:pt idx="40">
                  <c:v>0.14703372204684351</c:v>
                </c:pt>
                <c:pt idx="41">
                  <c:v>0.14606422816958436</c:v>
                </c:pt>
                <c:pt idx="42">
                  <c:v>0.14512138075669884</c:v>
                </c:pt>
                <c:pt idx="43">
                  <c:v>0.14420313256796805</c:v>
                </c:pt>
                <c:pt idx="44">
                  <c:v>0.14330757395058513</c:v>
                </c:pt>
                <c:pt idx="45">
                  <c:v>0.14243291856727683</c:v>
                </c:pt>
                <c:pt idx="46">
                  <c:v>0.14157749061641917</c:v>
                </c:pt>
                <c:pt idx="47">
                  <c:v>0.14073971334764979</c:v>
                </c:pt>
                <c:pt idx="48">
                  <c:v>0.13991809870353727</c:v>
                </c:pt>
                <c:pt idx="49">
                  <c:v>0.13911123794062566</c:v>
                </c:pt>
                <c:pt idx="50">
                  <c:v>0.13831779310233275</c:v>
                </c:pt>
              </c:numCache>
            </c:numRef>
          </c:yVal>
          <c:smooth val="1"/>
        </c:ser>
        <c:dLbls>
          <c:showLegendKey val="0"/>
          <c:showVal val="0"/>
          <c:showCatName val="0"/>
          <c:showSerName val="0"/>
          <c:showPercent val="0"/>
          <c:showBubbleSize val="0"/>
        </c:dLbls>
        <c:axId val="199596672"/>
        <c:axId val="199611136"/>
      </c:scatterChart>
      <c:valAx>
        <c:axId val="199596672"/>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199611136"/>
        <c:crosses val="autoZero"/>
        <c:crossBetween val="midCat"/>
      </c:valAx>
      <c:valAx>
        <c:axId val="199611136"/>
        <c:scaling>
          <c:orientation val="minMax"/>
        </c:scaling>
        <c:delete val="0"/>
        <c:axPos val="l"/>
        <c:majorGridlines/>
        <c:title>
          <c:tx>
            <c:rich>
              <a:bodyPr rot="-5400000" vert="horz"/>
              <a:lstStyle/>
              <a:p>
                <a:pPr>
                  <a:defRPr/>
                </a:pPr>
                <a:r>
                  <a:rPr lang="en-US"/>
                  <a:t>Clamp</a:t>
                </a:r>
                <a:r>
                  <a:rPr lang="en-US" baseline="0"/>
                  <a:t> Power (W)</a:t>
                </a:r>
                <a:endParaRPr lang="en-US"/>
              </a:p>
            </c:rich>
          </c:tx>
          <c:layout/>
          <c:overlay val="0"/>
        </c:title>
        <c:numFmt formatCode="##0.0E+0" sourceLinked="1"/>
        <c:majorTickMark val="out"/>
        <c:minorTickMark val="none"/>
        <c:tickLblPos val="nextTo"/>
        <c:crossAx val="199596672"/>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CCM {VIN Min, Full Load}</a:t>
            </a:r>
            <a:endParaRPr lang="en-US"/>
          </a:p>
        </c:rich>
      </c:tx>
      <c:layout/>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23.930308373506936</c:v>
                </c:pt>
                <c:pt idx="1">
                  <c:v>23.930299228513043</c:v>
                </c:pt>
                <c:pt idx="2">
                  <c:v>23.930283986899425</c:v>
                </c:pt>
                <c:pt idx="3">
                  <c:v>23.930262648730178</c:v>
                </c:pt>
                <c:pt idx="4">
                  <c:v>23.930235214095163</c:v>
                </c:pt>
                <c:pt idx="5">
                  <c:v>23.930201683109903</c:v>
                </c:pt>
                <c:pt idx="6">
                  <c:v>23.930162055915602</c:v>
                </c:pt>
                <c:pt idx="7">
                  <c:v>23.930116332679212</c:v>
                </c:pt>
                <c:pt idx="8">
                  <c:v>23.930064513593166</c:v>
                </c:pt>
                <c:pt idx="9">
                  <c:v>23.930006598875664</c:v>
                </c:pt>
                <c:pt idx="10">
                  <c:v>23.92909225831534</c:v>
                </c:pt>
                <c:pt idx="11">
                  <c:v>23.927568785002357</c:v>
                </c:pt>
                <c:pt idx="12">
                  <c:v>23.925436819738515</c:v>
                </c:pt>
                <c:pt idx="13">
                  <c:v>23.922697258388599</c:v>
                </c:pt>
                <c:pt idx="14">
                  <c:v>23.919351250627535</c:v>
                </c:pt>
                <c:pt idx="15">
                  <c:v>23.915400198335682</c:v>
                </c:pt>
                <c:pt idx="16">
                  <c:v>23.910845753646676</c:v>
                </c:pt>
                <c:pt idx="17">
                  <c:v>23.905689816654771</c:v>
                </c:pt>
                <c:pt idx="18">
                  <c:v>23.899934532786496</c:v>
                </c:pt>
                <c:pt idx="19">
                  <c:v>23.810058184559928</c:v>
                </c:pt>
                <c:pt idx="20">
                  <c:v>23.664277671207131</c:v>
                </c:pt>
                <c:pt idx="21">
                  <c:v>23.468071432163541</c:v>
                </c:pt>
                <c:pt idx="22">
                  <c:v>23.228168734092677</c:v>
                </c:pt>
                <c:pt idx="23">
                  <c:v>22.951882148718585</c:v>
                </c:pt>
                <c:pt idx="24">
                  <c:v>22.646520700216012</c:v>
                </c:pt>
                <c:pt idx="25">
                  <c:v>22.318950195132562</c:v>
                </c:pt>
                <c:pt idx="26">
                  <c:v>21.975317025569172</c:v>
                </c:pt>
                <c:pt idx="27">
                  <c:v>21.620916461873676</c:v>
                </c:pt>
                <c:pt idx="28">
                  <c:v>18.123483637158508</c:v>
                </c:pt>
                <c:pt idx="29">
                  <c:v>15.286133957313696</c:v>
                </c:pt>
                <c:pt idx="30">
                  <c:v>13.054452345201062</c:v>
                </c:pt>
                <c:pt idx="31">
                  <c:v>11.245162825903181</c:v>
                </c:pt>
                <c:pt idx="32">
                  <c:v>9.7326742667160637</c:v>
                </c:pt>
                <c:pt idx="33">
                  <c:v>8.4366689066154255</c:v>
                </c:pt>
                <c:pt idx="34">
                  <c:v>7.304395330579049</c:v>
                </c:pt>
                <c:pt idx="35">
                  <c:v>6.299831783205474</c:v>
                </c:pt>
                <c:pt idx="36">
                  <c:v>5.3974598483697296</c:v>
                </c:pt>
                <c:pt idx="37">
                  <c:v>-0.59446855944691335</c:v>
                </c:pt>
                <c:pt idx="38">
                  <c:v>-4.122565462189776</c:v>
                </c:pt>
                <c:pt idx="39">
                  <c:v>-6.6281041694656251</c:v>
                </c:pt>
                <c:pt idx="40">
                  <c:v>-8.5706254763700578</c:v>
                </c:pt>
                <c:pt idx="41">
                  <c:v>-10.15644230974736</c:v>
                </c:pt>
                <c:pt idx="42">
                  <c:v>-11.49600080213898</c:v>
                </c:pt>
                <c:pt idx="43">
                  <c:v>-12.655306303520724</c:v>
                </c:pt>
                <c:pt idx="44">
                  <c:v>-13.676937115767059</c:v>
                </c:pt>
                <c:pt idx="45">
                  <c:v>-14.58995444461776</c:v>
                </c:pt>
                <c:pt idx="46">
                  <c:v>-20.563489875418792</c:v>
                </c:pt>
                <c:pt idx="47">
                  <c:v>-24.002503691254539</c:v>
                </c:pt>
                <c:pt idx="48">
                  <c:v>-26.38717398069538</c:v>
                </c:pt>
                <c:pt idx="49">
                  <c:v>-28.182735295386401</c:v>
                </c:pt>
                <c:pt idx="50">
                  <c:v>-29.598079464262966</c:v>
                </c:pt>
                <c:pt idx="51">
                  <c:v>-30.74616217062669</c:v>
                </c:pt>
                <c:pt idx="52">
                  <c:v>-31.695711249548687</c:v>
                </c:pt>
                <c:pt idx="53">
                  <c:v>-32.492119497399941</c:v>
                </c:pt>
                <c:pt idx="54">
                  <c:v>-33.167212210440304</c:v>
                </c:pt>
                <c:pt idx="55">
                  <c:v>-36.518181638812457</c:v>
                </c:pt>
              </c:numCache>
            </c:numRef>
          </c:yVal>
          <c:smooth val="1"/>
        </c:ser>
        <c:dLbls>
          <c:showLegendKey val="0"/>
          <c:showVal val="0"/>
          <c:showCatName val="0"/>
          <c:showSerName val="0"/>
          <c:showPercent val="0"/>
          <c:showBubbleSize val="0"/>
        </c:dLbls>
        <c:axId val="199904256"/>
        <c:axId val="199910528"/>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-5.2029556636206724E-2</c:v>
                </c:pt>
                <c:pt idx="1">
                  <c:v>-0.10405904587947586</c:v>
                </c:pt>
                <c:pt idx="2">
                  <c:v>-0.15608840033743632</c:v>
                </c:pt>
                <c:pt idx="3">
                  <c:v>-0.20811755261885395</c:v>
                </c:pt>
                <c:pt idx="4">
                  <c:v>-0.26014643533419529</c:v>
                </c:pt>
                <c:pt idx="5">
                  <c:v>-0.31217498109619862</c:v>
                </c:pt>
                <c:pt idx="6">
                  <c:v>-0.36420312252043774</c:v>
                </c:pt>
                <c:pt idx="7">
                  <c:v>-0.41623079222589227</c:v>
                </c:pt>
                <c:pt idx="8">
                  <c:v>-0.46825792283551421</c:v>
                </c:pt>
                <c:pt idx="9">
                  <c:v>-0.5202844469767961</c:v>
                </c:pt>
                <c:pt idx="10">
                  <c:v>-1.0405015150593779</c:v>
                </c:pt>
                <c:pt idx="11">
                  <c:v>-1.5605838820675557</c:v>
                </c:pt>
                <c:pt idx="12">
                  <c:v>-2.0804643391299078</c:v>
                </c:pt>
                <c:pt idx="13">
                  <c:v>-2.6000758470403609</c:v>
                </c:pt>
                <c:pt idx="14">
                  <c:v>-3.1193515922586879</c:v>
                </c:pt>
                <c:pt idx="15">
                  <c:v>-3.638225042438477</c:v>
                </c:pt>
                <c:pt idx="16">
                  <c:v>-4.1566300013678639</c:v>
                </c:pt>
                <c:pt idx="17">
                  <c:v>-4.6745006632106234</c:v>
                </c:pt>
                <c:pt idx="18">
                  <c:v>-5.1917716659379405</c:v>
                </c:pt>
                <c:pt idx="19">
                  <c:v>-10.317539867726573</c:v>
                </c:pt>
                <c:pt idx="20">
                  <c:v>-15.31659982320968</c:v>
                </c:pt>
                <c:pt idx="21">
                  <c:v>-20.137823607275116</c:v>
                </c:pt>
                <c:pt idx="22">
                  <c:v>-24.742245643655831</c:v>
                </c:pt>
                <c:pt idx="23">
                  <c:v>-29.103800185818585</c:v>
                </c:pt>
                <c:pt idx="24">
                  <c:v>-33.208508389290387</c:v>
                </c:pt>
                <c:pt idx="25">
                  <c:v>-37.052655663650064</c:v>
                </c:pt>
                <c:pt idx="26">
                  <c:v>-40.64052181312087</c:v>
                </c:pt>
                <c:pt idx="27">
                  <c:v>-43.982105165904713</c:v>
                </c:pt>
                <c:pt idx="28">
                  <c:v>-67.213254774508613</c:v>
                </c:pt>
                <c:pt idx="29">
                  <c:v>-80.342111436925478</c:v>
                </c:pt>
                <c:pt idx="30">
                  <c:v>-89.389047874787593</c:v>
                </c:pt>
                <c:pt idx="31">
                  <c:v>-96.50458405333346</c:v>
                </c:pt>
                <c:pt idx="32">
                  <c:v>-102.55858657313131</c:v>
                </c:pt>
                <c:pt idx="33">
                  <c:v>-107.95575605945149</c:v>
                </c:pt>
                <c:pt idx="34">
                  <c:v>-112.90576042557737</c:v>
                </c:pt>
                <c:pt idx="35">
                  <c:v>-117.52634596594106</c:v>
                </c:pt>
                <c:pt idx="36">
                  <c:v>-121.88787302189913</c:v>
                </c:pt>
                <c:pt idx="37">
                  <c:v>-156.56129518792804</c:v>
                </c:pt>
                <c:pt idx="38">
                  <c:v>179.80859881301316</c:v>
                </c:pt>
                <c:pt idx="39">
                  <c:v>163.51035648726398</c:v>
                </c:pt>
                <c:pt idx="40">
                  <c:v>152.00735568819823</c:v>
                </c:pt>
                <c:pt idx="41">
                  <c:v>143.64073808622038</c:v>
                </c:pt>
                <c:pt idx="42">
                  <c:v>137.37562695506026</c:v>
                </c:pt>
                <c:pt idx="43">
                  <c:v>132.56350283315308</c:v>
                </c:pt>
                <c:pt idx="44">
                  <c:v>128.78780233025921</c:v>
                </c:pt>
                <c:pt idx="45">
                  <c:v>125.77274011516519</c:v>
                </c:pt>
                <c:pt idx="46">
                  <c:v>113.5542649846184</c:v>
                </c:pt>
                <c:pt idx="47">
                  <c:v>111.64159852514587</c:v>
                </c:pt>
                <c:pt idx="48">
                  <c:v>112.34326139577951</c:v>
                </c:pt>
                <c:pt idx="49">
                  <c:v>114.03279678678618</c:v>
                </c:pt>
                <c:pt idx="50">
                  <c:v>116.15123820763608</c:v>
                </c:pt>
                <c:pt idx="51">
                  <c:v>118.45210211073773</c:v>
                </c:pt>
                <c:pt idx="52">
                  <c:v>120.80933900062557</c:v>
                </c:pt>
                <c:pt idx="53">
                  <c:v>123.15254050011886</c:v>
                </c:pt>
                <c:pt idx="54">
                  <c:v>125.44057189574923</c:v>
                </c:pt>
                <c:pt idx="55">
                  <c:v>143.13776583813683</c:v>
                </c:pt>
              </c:numCache>
            </c:numRef>
          </c:yVal>
          <c:smooth val="1"/>
        </c:ser>
        <c:dLbls>
          <c:showLegendKey val="0"/>
          <c:showVal val="0"/>
          <c:showCatName val="0"/>
          <c:showSerName val="0"/>
          <c:showPercent val="0"/>
          <c:showBubbleSize val="0"/>
        </c:dLbls>
        <c:axId val="199926912"/>
        <c:axId val="199912448"/>
      </c:scatterChart>
      <c:valAx>
        <c:axId val="199904256"/>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layout/>
          <c:overlay val="0"/>
        </c:title>
        <c:numFmt formatCode="0.E+00" sourceLinked="0"/>
        <c:majorTickMark val="out"/>
        <c:minorTickMark val="none"/>
        <c:tickLblPos val="low"/>
        <c:crossAx val="199910528"/>
        <c:crosses val="autoZero"/>
        <c:crossBetween val="midCat"/>
      </c:valAx>
      <c:valAx>
        <c:axId val="199910528"/>
        <c:scaling>
          <c:orientation val="minMax"/>
        </c:scaling>
        <c:delete val="0"/>
        <c:axPos val="l"/>
        <c:majorGridlines/>
        <c:title>
          <c:tx>
            <c:rich>
              <a:bodyPr rot="-5400000" vert="horz"/>
              <a:lstStyle/>
              <a:p>
                <a:pPr>
                  <a:defRPr/>
                </a:pPr>
                <a:r>
                  <a:rPr lang="en-US"/>
                  <a:t>Gain (dB)</a:t>
                </a:r>
              </a:p>
            </c:rich>
          </c:tx>
          <c:layout/>
          <c:overlay val="0"/>
        </c:title>
        <c:numFmt formatCode="General" sourceLinked="0"/>
        <c:majorTickMark val="out"/>
        <c:minorTickMark val="none"/>
        <c:tickLblPos val="nextTo"/>
        <c:crossAx val="199904256"/>
        <c:crosses val="autoZero"/>
        <c:crossBetween val="midCat"/>
        <c:majorUnit val="20"/>
      </c:valAx>
      <c:valAx>
        <c:axId val="199912448"/>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199926912"/>
        <c:crosses val="max"/>
        <c:crossBetween val="midCat"/>
      </c:valAx>
      <c:valAx>
        <c:axId val="199926912"/>
        <c:scaling>
          <c:logBase val="10"/>
          <c:orientation val="minMax"/>
        </c:scaling>
        <c:delete val="1"/>
        <c:axPos val="b"/>
        <c:majorGridlines/>
        <c:minorGridlines/>
        <c:numFmt formatCode="##0.000E+0" sourceLinked="1"/>
        <c:majorTickMark val="out"/>
        <c:minorTickMark val="none"/>
        <c:tickLblPos val="nextTo"/>
        <c:crossAx val="19991244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Currents</a:t>
            </a:r>
          </a:p>
        </c:rich>
      </c:tx>
      <c:layout/>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'Fly-Buck_Calc'!$V$4:$V$54</c:f>
              <c:numCache>
                <c:formatCode>General</c:formatCode>
                <c:ptCount val="51"/>
                <c:pt idx="0">
                  <c:v>0.8290422876600072</c:v>
                </c:pt>
                <c:pt idx="1">
                  <c:v>0.79546985497810374</c:v>
                </c:pt>
                <c:pt idx="2">
                  <c:v>0.76568377364543161</c:v>
                </c:pt>
                <c:pt idx="3">
                  <c:v>0.73902005628388834</c:v>
                </c:pt>
                <c:pt idx="4">
                  <c:v>0.71496745449389698</c:v>
                </c:pt>
                <c:pt idx="5">
                  <c:v>0.69312497165893505</c:v>
                </c:pt>
                <c:pt idx="6">
                  <c:v>0.67317300770413457</c:v>
                </c:pt>
                <c:pt idx="7">
                  <c:v>0.65485324291777891</c:v>
                </c:pt>
                <c:pt idx="8">
                  <c:v>0.63795429131508363</c:v>
                </c:pt>
                <c:pt idx="9">
                  <c:v>0.62230126206238756</c:v>
                </c:pt>
                <c:pt idx="10">
                  <c:v>0.60774802857463484</c:v>
                </c:pt>
                <c:pt idx="11">
                  <c:v>0.59417141163245701</c:v>
                </c:pt>
                <c:pt idx="12">
                  <c:v>0.58146673999360843</c:v>
                </c:pt>
                <c:pt idx="13">
                  <c:v>0.56954441850652082</c:v>
                </c:pt>
                <c:pt idx="14">
                  <c:v>0.55832724395858258</c:v>
                </c:pt>
                <c:pt idx="15">
                  <c:v>0.54774828329101088</c:v>
                </c:pt>
                <c:pt idx="16">
                  <c:v>0.53774917993081306</c:v>
                </c:pt>
                <c:pt idx="17">
                  <c:v>0.52827878968713904</c:v>
                </c:pt>
                <c:pt idx="18">
                  <c:v>0.51929207295960422</c:v>
                </c:pt>
                <c:pt idx="19">
                  <c:v>0.51074918818416915</c:v>
                </c:pt>
                <c:pt idx="20">
                  <c:v>0.50261474466829958</c:v>
                </c:pt>
                <c:pt idx="21">
                  <c:v>0.49485718270311113</c:v>
                </c:pt>
                <c:pt idx="22">
                  <c:v>0.48744825608490733</c:v>
                </c:pt>
                <c:pt idx="23">
                  <c:v>0.48036259762400491</c:v>
                </c:pt>
                <c:pt idx="24">
                  <c:v>0.47357735235044851</c:v>
                </c:pt>
                <c:pt idx="25">
                  <c:v>0.46707186628880437</c:v>
                </c:pt>
                <c:pt idx="26">
                  <c:v>0.46082742111502523</c:v>
                </c:pt>
                <c:pt idx="27">
                  <c:v>0.4548270069067698</c:v>
                </c:pt>
                <c:pt idx="28">
                  <c:v>0.44905512668589359</c:v>
                </c:pt>
                <c:pt idx="29">
                  <c:v>0.44349762762512035</c:v>
                </c:pt>
                <c:pt idx="30">
                  <c:v>0.43814155472252758</c:v>
                </c:pt>
                <c:pt idx="31">
                  <c:v>0.43297502349174155</c:v>
                </c:pt>
                <c:pt idx="32">
                  <c:v>0.42798710881381297</c:v>
                </c:pt>
                <c:pt idx="33">
                  <c:v>0.42316774758000036</c:v>
                </c:pt>
                <c:pt idx="34">
                  <c:v>0.41850765314722332</c:v>
                </c:pt>
                <c:pt idx="35">
                  <c:v>0.41399823994840129</c:v>
                </c:pt>
                <c:pt idx="36">
                  <c:v>0.40963155686273683</c:v>
                </c:pt>
                <c:pt idx="37">
                  <c:v>0.40540022816758031</c:v>
                </c:pt>
                <c:pt idx="38">
                  <c:v>0.40129740107275336</c:v>
                </c:pt>
                <c:pt idx="39">
                  <c:v>0.39731669898714295</c:v>
                </c:pt>
                <c:pt idx="40">
                  <c:v>0.39345217979164726</c:v>
                </c:pt>
                <c:pt idx="41">
                  <c:v>0.38969829849662185</c:v>
                </c:pt>
                <c:pt idx="42">
                  <c:v>0.38604987374944555</c:v>
                </c:pt>
                <c:pt idx="43">
                  <c:v>0.38250205773160945</c:v>
                </c:pt>
                <c:pt idx="44">
                  <c:v>0.37905030904717779</c:v>
                </c:pt>
                <c:pt idx="45">
                  <c:v>0.37569036825747981</c:v>
                </c:pt>
                <c:pt idx="46">
                  <c:v>0.37241823576205413</c:v>
                </c:pt>
                <c:pt idx="47">
                  <c:v>0.36923015176443519</c:v>
                </c:pt>
                <c:pt idx="48">
                  <c:v>0.36612257809441695</c:v>
                </c:pt>
                <c:pt idx="49">
                  <c:v>0.36309218168682061</c:v>
                </c:pt>
                <c:pt idx="50">
                  <c:v>0.36013581954124324</c:v>
                </c:pt>
              </c:numCache>
            </c:numRef>
          </c:yVal>
          <c:smooth val="1"/>
        </c:ser>
        <c:ser>
          <c:idx val="1"/>
          <c:order val="1"/>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'Fly-BB_Calc'!$V$4:$V$54</c:f>
              <c:numCache>
                <c:formatCode>0.0000</c:formatCode>
                <c:ptCount val="51"/>
                <c:pt idx="0">
                  <c:v>0.87322668827753314</c:v>
                </c:pt>
                <c:pt idx="1">
                  <c:v>0.82085158702628658</c:v>
                </c:pt>
                <c:pt idx="2">
                  <c:v>0.7758886119483569</c:v>
                </c:pt>
                <c:pt idx="3">
                  <c:v>0.73682606182331623</c:v>
                </c:pt>
                <c:pt idx="4">
                  <c:v>0.70253980017638984</c:v>
                </c:pt>
                <c:pt idx="5">
                  <c:v>0.67217627894471166</c:v>
                </c:pt>
                <c:pt idx="6">
                  <c:v>0.64507555031522179</c:v>
                </c:pt>
                <c:pt idx="7">
                  <c:v>0.62071917301171853</c:v>
                </c:pt>
                <c:pt idx="8">
                  <c:v>0.59869409823990394</c:v>
                </c:pt>
                <c:pt idx="9">
                  <c:v>0.5786670920868624</c:v>
                </c:pt>
                <c:pt idx="10">
                  <c:v>0.560366272324748</c:v>
                </c:pt>
                <c:pt idx="11">
                  <c:v>0.54356755177622673</c:v>
                </c:pt>
                <c:pt idx="12">
                  <c:v>0.52808453044795023</c:v>
                </c:pt>
                <c:pt idx="13">
                  <c:v>0.513760853660581</c:v>
                </c:pt>
                <c:pt idx="14">
                  <c:v>0.50046436107436421</c:v>
                </c:pt>
                <c:pt idx="15">
                  <c:v>0.4880825548765616</c:v>
                </c:pt>
                <c:pt idx="16">
                  <c:v>0.47651905232834713</c:v>
                </c:pt>
                <c:pt idx="17">
                  <c:v>0.46569078163754041</c:v>
                </c:pt>
                <c:pt idx="18">
                  <c:v>0.45552574533774937</c:v>
                </c:pt>
                <c:pt idx="19">
                  <c:v>0.44596122136127037</c:v>
                </c:pt>
                <c:pt idx="20">
                  <c:v>0.43694230488021574</c:v>
                </c:pt>
                <c:pt idx="21">
                  <c:v>0.42842071778806673</c:v>
                </c:pt>
                <c:pt idx="22">
                  <c:v>0.42035383011097471</c:v>
                </c:pt>
                <c:pt idx="23">
                  <c:v>0.41270385052101172</c:v>
                </c:pt>
                <c:pt idx="24">
                  <c:v>0.40543715274730235</c:v>
                </c:pt>
                <c:pt idx="25">
                  <c:v>0.39852371193690533</c:v>
                </c:pt>
                <c:pt idx="26">
                  <c:v>0.39193663053576017</c:v>
                </c:pt>
                <c:pt idx="27">
                  <c:v>0.38565173749144699</c:v>
                </c:pt>
                <c:pt idx="28">
                  <c:v>0.37964724784914311</c:v>
                </c:pt>
                <c:pt idx="29">
                  <c:v>0.37390347235702875</c:v>
                </c:pt>
                <c:pt idx="30">
                  <c:v>0.36840256869179394</c:v>
                </c:pt>
                <c:pt idx="31">
                  <c:v>0.36312832748808815</c:v>
                </c:pt>
                <c:pt idx="32">
                  <c:v>0.35806598760436259</c:v>
                </c:pt>
                <c:pt idx="33">
                  <c:v>0.35320207605436876</c:v>
                </c:pt>
                <c:pt idx="34">
                  <c:v>0.34852426883379617</c:v>
                </c:pt>
                <c:pt idx="35">
                  <c:v>0.34402126951737017</c:v>
                </c:pt>
                <c:pt idx="36">
                  <c:v>0.33968270302557246</c:v>
                </c:pt>
                <c:pt idx="37">
                  <c:v>0.33549902238711504</c:v>
                </c:pt>
                <c:pt idx="38">
                  <c:v>0.33146142667290729</c:v>
                </c:pt>
                <c:pt idx="39">
                  <c:v>0.32756178856476542</c:v>
                </c:pt>
                <c:pt idx="40">
                  <c:v>0.32379259025958113</c:v>
                </c:pt>
                <c:pt idx="41">
                  <c:v>0.32014686660656927</c:v>
                </c:pt>
                <c:pt idx="42">
                  <c:v>0.31661815453912784</c:v>
                </c:pt>
                <c:pt idx="43">
                  <c:v>0.31320044799979979</c:v>
                </c:pt>
                <c:pt idx="44">
                  <c:v>0.30988815767166555</c:v>
                </c:pt>
                <c:pt idx="45">
                  <c:v>0.30667607492612076</c:v>
                </c:pt>
                <c:pt idx="46">
                  <c:v>0.30355933947856417</c:v>
                </c:pt>
                <c:pt idx="47">
                  <c:v>0.30053341031259884</c:v>
                </c:pt>
                <c:pt idx="48">
                  <c:v>0.29759403949202923</c:v>
                </c:pt>
                <c:pt idx="49">
                  <c:v>0.29473724852992927</c:v>
                </c:pt>
                <c:pt idx="50">
                  <c:v>0.29195930702677181</c:v>
                </c:pt>
              </c:numCache>
            </c:numRef>
          </c:yVal>
          <c:smooth val="1"/>
        </c:ser>
        <c:ser>
          <c:idx val="2"/>
          <c:order val="2"/>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Flyback_CCM_Calc!$W$4:$W$54</c:f>
              <c:numCache>
                <c:formatCode>0.000</c:formatCode>
                <c:ptCount val="51"/>
                <c:pt idx="0">
                  <c:v>1.0482965760689618</c:v>
                </c:pt>
                <c:pt idx="1">
                  <c:v>0.98548518797328344</c:v>
                </c:pt>
                <c:pt idx="2">
                  <c:v>0.93156665739035005</c:v>
                </c:pt>
                <c:pt idx="3">
                  <c:v>0.88472684447562178</c:v>
                </c:pt>
                <c:pt idx="4">
                  <c:v>0.84361674509778184</c:v>
                </c:pt>
                <c:pt idx="5">
                  <c:v>0.80721210276353972</c:v>
                </c:pt>
                <c:pt idx="6">
                  <c:v>0.77472101049792563</c:v>
                </c:pt>
                <c:pt idx="7">
                  <c:v>0.74552138921864275</c:v>
                </c:pt>
                <c:pt idx="8">
                  <c:v>0.71911764408271894</c:v>
                </c:pt>
                <c:pt idx="9">
                  <c:v>0.69510996637025912</c:v>
                </c:pt>
                <c:pt idx="10">
                  <c:v>0.67317217399688511</c:v>
                </c:pt>
                <c:pt idx="11">
                  <c:v>0.65303544090578269</c:v>
                </c:pt>
                <c:pt idx="12">
                  <c:v>0.63447616573249355</c:v>
                </c:pt>
                <c:pt idx="13">
                  <c:v>0.61730680022553919</c:v>
                </c:pt>
                <c:pt idx="14">
                  <c:v>0.60136882715817208</c:v>
                </c:pt>
                <c:pt idx="15">
                  <c:v>0.58652732154309506</c:v>
                </c:pt>
                <c:pt idx="16">
                  <c:v>0.57266669330639641</c:v>
                </c:pt>
                <c:pt idx="17">
                  <c:v>0.55968732211964078</c:v>
                </c:pt>
                <c:pt idx="18">
                  <c:v>0.5475028733612497</c:v>
                </c:pt>
                <c:pt idx="19">
                  <c:v>0.5360381393978243</c:v>
                </c:pt>
                <c:pt idx="20">
                  <c:v>0.52522728984919365</c:v>
                </c:pt>
                <c:pt idx="21">
                  <c:v>0.5150124430647125</c:v>
                </c:pt>
                <c:pt idx="22">
                  <c:v>0.50534249194374858</c:v>
                </c:pt>
                <c:pt idx="23">
                  <c:v>0.49617213269644833</c:v>
                </c:pt>
                <c:pt idx="24">
                  <c:v>0.48746105669210993</c:v>
                </c:pt>
                <c:pt idx="25">
                  <c:v>0.47917327425171979</c:v>
                </c:pt>
                <c:pt idx="26">
                  <c:v>0.47127654586492701</c:v>
                </c:pt>
                <c:pt idx="27">
                  <c:v>0.46374190139063243</c:v>
                </c:pt>
                <c:pt idx="28">
                  <c:v>0.45654323172483435</c:v>
                </c:pt>
                <c:pt idx="29">
                  <c:v>0.44965694047387689</c:v>
                </c:pt>
                <c:pt idx="30">
                  <c:v>0.44306164556503086</c:v>
                </c:pt>
                <c:pt idx="31">
                  <c:v>0.43673792261453109</c:v>
                </c:pt>
                <c:pt idx="32">
                  <c:v>0.43066808337179391</c:v>
                </c:pt>
                <c:pt idx="33">
                  <c:v>0.42483598375491305</c:v>
                </c:pt>
                <c:pt idx="34">
                  <c:v>0.41922685695293788</c:v>
                </c:pt>
                <c:pt idx="35">
                  <c:v>0.41382716784553131</c:v>
                </c:pt>
                <c:pt idx="36">
                  <c:v>0.4086244856192906</c:v>
                </c:pt>
                <c:pt idx="37">
                  <c:v>0.40360737197241542</c:v>
                </c:pt>
                <c:pt idx="38">
                  <c:v>0.39876528271895179</c:v>
                </c:pt>
                <c:pt idx="39">
                  <c:v>0.39408848094887844</c:v>
                </c:pt>
                <c:pt idx="40">
                  <c:v>0.38956796018524981</c:v>
                </c:pt>
                <c:pt idx="41">
                  <c:v>0.385195376215898</c:v>
                </c:pt>
                <c:pt idx="42">
                  <c:v>0.38096298647387267</c:v>
                </c:pt>
                <c:pt idx="43">
                  <c:v>0.37686359600514169</c:v>
                </c:pt>
                <c:pt idx="44">
                  <c:v>0.37289050919985528</c:v>
                </c:pt>
                <c:pt idx="45">
                  <c:v>0.36903748657941998</c:v>
                </c:pt>
                <c:pt idx="46">
                  <c:v>0.36529870602948977</c:v>
                </c:pt>
                <c:pt idx="47">
                  <c:v>0.36166872795186195</c:v>
                </c:pt>
                <c:pt idx="48">
                  <c:v>0.35814246387865745</c:v>
                </c:pt>
                <c:pt idx="49">
                  <c:v>0.35471514815214911</c:v>
                </c:pt>
                <c:pt idx="50">
                  <c:v>0.35138231232483247</c:v>
                </c:pt>
              </c:numCache>
            </c:numRef>
          </c:yVal>
          <c:smooth val="1"/>
        </c:ser>
        <c:ser>
          <c:idx val="3"/>
          <c:order val="3"/>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Flyback_DCM_Calc!$S$4:$S$54</c:f>
              <c:numCache>
                <c:formatCode>0.000</c:formatCode>
                <c:ptCount val="51"/>
                <c:pt idx="0">
                  <c:v>1.4154708032657286</c:v>
                </c:pt>
                <c:pt idx="1">
                  <c:v>1.3578529588587065</c:v>
                </c:pt>
                <c:pt idx="2">
                  <c:v>1.3067430870876922</c:v>
                </c:pt>
                <c:pt idx="3">
                  <c:v>1.2610016159052517</c:v>
                </c:pt>
                <c:pt idx="4">
                  <c:v>1.2197500945853155</c:v>
                </c:pt>
                <c:pt idx="5">
                  <c:v>1.1822989808678703</c:v>
                </c:pt>
                <c:pt idx="6">
                  <c:v>1.1480984263743426</c:v>
                </c:pt>
                <c:pt idx="7">
                  <c:v>1.1167038769036002</c:v>
                </c:pt>
                <c:pt idx="8">
                  <c:v>1.0877514900350451</c:v>
                </c:pt>
                <c:pt idx="9">
                  <c:v>1.0609402218960899</c:v>
                </c:pt>
                <c:pt idx="10">
                  <c:v>1.0360185451226576</c:v>
                </c:pt>
                <c:pt idx="11">
                  <c:v>1.01277444640906</c:v>
                </c:pt>
                <c:pt idx="12">
                  <c:v>0.99102778766806454</c:v>
                </c:pt>
                <c:pt idx="13">
                  <c:v>0.97062439786909493</c:v>
                </c:pt>
                <c:pt idx="14">
                  <c:v>0.95143145045960709</c:v>
                </c:pt>
                <c:pt idx="15">
                  <c:v>0.9333338083352708</c:v>
                </c:pt>
                <c:pt idx="16">
                  <c:v>0.91623110578224654</c:v>
                </c:pt>
                <c:pt idx="17">
                  <c:v>0.90003539797812204</c:v>
                </c:pt>
                <c:pt idx="18">
                  <c:v>0.88466925204108038</c:v>
                </c:pt>
                <c:pt idx="19">
                  <c:v>0.87006418483329118</c:v>
                </c:pt>
                <c:pt idx="20">
                  <c:v>0.85615937545651788</c:v>
                </c:pt>
                <c:pt idx="21">
                  <c:v>0.84290059712305321</c:v>
                </c:pt>
                <c:pt idx="22">
                  <c:v>0.83023932555268187</c:v>
                </c:pt>
                <c:pt idx="23">
                  <c:v>0.81813199042209828</c:v>
                </c:pt>
                <c:pt idx="24">
                  <c:v>0.8065393435097461</c:v>
                </c:pt>
                <c:pt idx="25">
                  <c:v>0.79542592262809486</c:v>
                </c:pt>
                <c:pt idx="26">
                  <c:v>0.78475959464188649</c:v>
                </c:pt>
                <c:pt idx="27">
                  <c:v>0.77451116414326338</c:v>
                </c:pt>
                <c:pt idx="28">
                  <c:v>0.76465403691890577</c:v>
                </c:pt>
                <c:pt idx="29">
                  <c:v>0.75516392936737209</c:v>
                </c:pt>
                <c:pt idx="30">
                  <c:v>0.74601861663130065</c:v>
                </c:pt>
                <c:pt idx="31">
                  <c:v>0.73719771349263463</c:v>
                </c:pt>
                <c:pt idx="32">
                  <c:v>0.7286824831104266</c:v>
                </c:pt>
                <c:pt idx="33">
                  <c:v>0.7204556695142057</c:v>
                </c:pt>
                <c:pt idx="34">
                  <c:v>0.71250135044283958</c:v>
                </c:pt>
                <c:pt idx="35">
                  <c:v>0.70480480767145171</c:v>
                </c:pt>
                <c:pt idx="36">
                  <c:v>0.69735241242222634</c:v>
                </c:pt>
                <c:pt idx="37">
                  <c:v>0.69013152382840048</c:v>
                </c:pt>
                <c:pt idx="38">
                  <c:v>0.68313039872979253</c:v>
                </c:pt>
                <c:pt idx="39">
                  <c:v>0.67633811133502597</c:v>
                </c:pt>
                <c:pt idx="40">
                  <c:v>0.66974448149984112</c:v>
                </c:pt>
                <c:pt idx="41">
                  <c:v>0.6633400105502949</c:v>
                </c:pt>
                <c:pt idx="42">
                  <c:v>0.65711582373043187</c:v>
                </c:pt>
                <c:pt idx="43">
                  <c:v>0.65106361848118599</c:v>
                </c:pt>
                <c:pt idx="44">
                  <c:v>0.64517561786488753</c:v>
                </c:pt>
                <c:pt idx="45">
                  <c:v>0.639444528541115</c:v>
                </c:pt>
                <c:pt idx="46">
                  <c:v>0.63386350277744141</c:v>
                </c:pt>
                <c:pt idx="47">
                  <c:v>0.62842610404508292</c:v>
                </c:pt>
                <c:pt idx="48">
                  <c:v>0.6231262758063848</c:v>
                </c:pt>
                <c:pt idx="49">
                  <c:v>0.61795831314998928</c:v>
                </c:pt>
                <c:pt idx="50">
                  <c:v>0.61291683697164323</c:v>
                </c:pt>
              </c:numCache>
            </c:numRef>
          </c:yVal>
          <c:smooth val="1"/>
        </c:ser>
        <c:dLbls>
          <c:showLegendKey val="0"/>
          <c:showVal val="0"/>
          <c:showCatName val="0"/>
          <c:showSerName val="0"/>
          <c:showPercent val="0"/>
          <c:showBubbleSize val="0"/>
        </c:dLbls>
        <c:axId val="181555200"/>
        <c:axId val="181557120"/>
      </c:scatterChart>
      <c:valAx>
        <c:axId val="18155520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1557120"/>
        <c:crosses val="autoZero"/>
        <c:crossBetween val="midCat"/>
      </c:valAx>
      <c:valAx>
        <c:axId val="181557120"/>
        <c:scaling>
          <c:orientation val="minMax"/>
        </c:scaling>
        <c:delete val="0"/>
        <c:axPos val="l"/>
        <c:majorGridlines/>
        <c:title>
          <c:tx>
            <c:rich>
              <a:bodyPr rot="-5400000" vert="horz"/>
              <a:lstStyle/>
              <a:p>
                <a:pPr>
                  <a:defRPr/>
                </a:pPr>
                <a:r>
                  <a:rPr lang="en-US"/>
                  <a:t>IL</a:t>
                </a:r>
                <a:r>
                  <a:rPr lang="en-US" baseline="0"/>
                  <a:t> RMS (A)</a:t>
                </a:r>
                <a:endParaRPr lang="en-US"/>
              </a:p>
            </c:rich>
          </c:tx>
          <c:layout/>
          <c:overlay val="0"/>
        </c:title>
        <c:numFmt formatCode="General" sourceLinked="1"/>
        <c:majorTickMark val="out"/>
        <c:minorTickMark val="none"/>
        <c:tickLblPos val="nextTo"/>
        <c:crossAx val="18155520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CCM OPTO Coupled</a:t>
            </a:r>
            <a:r>
              <a:rPr lang="en-US" baseline="0"/>
              <a:t> Compensation</a:t>
            </a:r>
            <a:endParaRPr lang="en-US"/>
          </a:p>
        </c:rich>
      </c:tx>
      <c:layout/>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36.847300894096328</c:v>
                </c:pt>
                <c:pt idx="1">
                  <c:v>30.826756971370134</c:v>
                </c:pt>
                <c:pt idx="2">
                  <c:v>27.305025106240176</c:v>
                </c:pt>
                <c:pt idx="3">
                  <c:v>24.806381013080316</c:v>
                </c:pt>
                <c:pt idx="4">
                  <c:v>22.868348711576875</c:v>
                </c:pt>
                <c:pt idx="5">
                  <c:v>21.284929064600355</c:v>
                </c:pt>
                <c:pt idx="6">
                  <c:v>19.946235855986806</c:v>
                </c:pt>
                <c:pt idx="7">
                  <c:v>18.786676804197217</c:v>
                </c:pt>
                <c:pt idx="8">
                  <c:v>17.763943539560685</c:v>
                </c:pt>
                <c:pt idx="9">
                  <c:v>16.849148201026125</c:v>
                </c:pt>
                <c:pt idx="10">
                  <c:v>10.834141390194752</c:v>
                </c:pt>
                <c:pt idx="11">
                  <c:v>7.3216220564668486</c:v>
                </c:pt>
                <c:pt idx="12">
                  <c:v>4.8358420751327706</c:v>
                </c:pt>
                <c:pt idx="13">
                  <c:v>2.9142923756215677</c:v>
                </c:pt>
                <c:pt idx="14">
                  <c:v>1.3509317577498217</c:v>
                </c:pt>
                <c:pt idx="15">
                  <c:v>3.5823318936722574E-2</c:v>
                </c:pt>
                <c:pt idx="16">
                  <c:v>-1.096684117656002</c:v>
                </c:pt>
                <c:pt idx="17">
                  <c:v>-2.0889655533238254</c:v>
                </c:pt>
                <c:pt idx="18">
                  <c:v>-2.9699826941727903</c:v>
                </c:pt>
                <c:pt idx="19">
                  <c:v>-8.4844589229356018</c:v>
                </c:pt>
                <c:pt idx="20">
                  <c:v>-11.275275905674739</c:v>
                </c:pt>
                <c:pt idx="21">
                  <c:v>-12.921717433089157</c:v>
                </c:pt>
                <c:pt idx="22">
                  <c:v>-13.96422234950743</c:v>
                </c:pt>
                <c:pt idx="23">
                  <c:v>-14.656927467829524</c:v>
                </c:pt>
                <c:pt idx="24">
                  <c:v>-15.135472239830506</c:v>
                </c:pt>
                <c:pt idx="25">
                  <c:v>-15.477259328140075</c:v>
                </c:pt>
                <c:pt idx="26">
                  <c:v>-15.728553879274916</c:v>
                </c:pt>
                <c:pt idx="27">
                  <c:v>-15.918076986959555</c:v>
                </c:pt>
                <c:pt idx="28">
                  <c:v>-16.60313939390501</c:v>
                </c:pt>
                <c:pt idx="29">
                  <c:v>-16.774727244507538</c:v>
                </c:pt>
                <c:pt idx="30">
                  <c:v>-16.874041368129433</c:v>
                </c:pt>
                <c:pt idx="31">
                  <c:v>-16.961431173751606</c:v>
                </c:pt>
                <c:pt idx="32">
                  <c:v>-17.051742316088912</c:v>
                </c:pt>
                <c:pt idx="33">
                  <c:v>-17.149626202821612</c:v>
                </c:pt>
                <c:pt idx="34">
                  <c:v>-17.256548855994915</c:v>
                </c:pt>
                <c:pt idx="35">
                  <c:v>-17.372746545701776</c:v>
                </c:pt>
                <c:pt idx="36">
                  <c:v>-17.497909071902274</c:v>
                </c:pt>
                <c:pt idx="37">
                  <c:v>-19.089711855549105</c:v>
                </c:pt>
                <c:pt idx="38">
                  <c:v>-20.879222461449565</c:v>
                </c:pt>
                <c:pt idx="39">
                  <c:v>-22.560245668007081</c:v>
                </c:pt>
                <c:pt idx="40">
                  <c:v>-24.060540396652968</c:v>
                </c:pt>
                <c:pt idx="41">
                  <c:v>-25.386361816321031</c:v>
                </c:pt>
                <c:pt idx="42">
                  <c:v>-26.562108549779513</c:v>
                </c:pt>
                <c:pt idx="43">
                  <c:v>-27.61264949592055</c:v>
                </c:pt>
                <c:pt idx="44">
                  <c:v>-28.5591424580001</c:v>
                </c:pt>
                <c:pt idx="45">
                  <c:v>-29.418690498292502</c:v>
                </c:pt>
                <c:pt idx="46">
                  <c:v>-35.256573768308208</c:v>
                </c:pt>
                <c:pt idx="47">
                  <c:v>-38.743701712123467</c:v>
                </c:pt>
                <c:pt idx="48">
                  <c:v>-41.2302665697257</c:v>
                </c:pt>
                <c:pt idx="49">
                  <c:v>-43.162803750486134</c:v>
                </c:pt>
                <c:pt idx="50">
                  <c:v>-44.743349330315219</c:v>
                </c:pt>
                <c:pt idx="51">
                  <c:v>-46.080427320788687</c:v>
                </c:pt>
                <c:pt idx="52">
                  <c:v>-47.239060049529357</c:v>
                </c:pt>
                <c:pt idx="53">
                  <c:v>-48.261283330539641</c:v>
                </c:pt>
                <c:pt idx="54">
                  <c:v>-49.175841376652144</c:v>
                </c:pt>
                <c:pt idx="55">
                  <c:v>-55.194548657198837</c:v>
                </c:pt>
              </c:numCache>
            </c:numRef>
          </c:yVal>
          <c:smooth val="1"/>
        </c:ser>
        <c:dLbls>
          <c:showLegendKey val="0"/>
          <c:showVal val="0"/>
          <c:showCatName val="0"/>
          <c:showSerName val="0"/>
          <c:showPercent val="0"/>
          <c:showBubbleSize val="0"/>
        </c:dLbls>
        <c:axId val="199625728"/>
        <c:axId val="199636096"/>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90.116423829753501</c:v>
                </c:pt>
                <c:pt idx="1">
                  <c:v>90.232846638038481</c:v>
                </c:pt>
                <c:pt idx="2">
                  <c:v>90.349267403439185</c:v>
                </c:pt>
                <c:pt idx="3">
                  <c:v>90.465685104645175</c:v>
                </c:pt>
                <c:pt idx="4">
                  <c:v>90.582098720504106</c:v>
                </c:pt>
                <c:pt idx="5">
                  <c:v>90.698507230074341</c:v>
                </c:pt>
                <c:pt idx="6">
                  <c:v>90.81490961267761</c:v>
                </c:pt>
                <c:pt idx="7">
                  <c:v>90.93130484795158</c:v>
                </c:pt>
                <c:pt idx="8">
                  <c:v>91.047691915902377</c:v>
                </c:pt>
                <c:pt idx="9">
                  <c:v>91.164069796957165</c:v>
                </c:pt>
                <c:pt idx="10">
                  <c:v>92.327119428022698</c:v>
                </c:pt>
                <c:pt idx="11">
                  <c:v>93.488133974634337</c:v>
                </c:pt>
                <c:pt idx="12">
                  <c:v>94.646108945596538</c:v>
                </c:pt>
                <c:pt idx="13">
                  <c:v>95.800055324137944</c:v>
                </c:pt>
                <c:pt idx="14">
                  <c:v>96.949004419451825</c:v>
                </c:pt>
                <c:pt idx="15">
                  <c:v>98.092012464754205</c:v>
                </c:pt>
                <c:pt idx="16">
                  <c:v>99.228164909724299</c:v>
                </c:pt>
                <c:pt idx="17">
                  <c:v>100.35658036206051</c:v>
                </c:pt>
                <c:pt idx="18">
                  <c:v>101.47641414055499</c:v>
                </c:pt>
                <c:pt idx="19">
                  <c:v>112.04811841315853</c:v>
                </c:pt>
                <c:pt idx="20">
                  <c:v>121.17030909751344</c:v>
                </c:pt>
                <c:pt idx="21">
                  <c:v>128.72133608333513</c:v>
                </c:pt>
                <c:pt idx="22">
                  <c:v>134.84519718661599</c:v>
                </c:pt>
                <c:pt idx="23">
                  <c:v>139.78192612605116</c:v>
                </c:pt>
                <c:pt idx="24">
                  <c:v>143.77110750746405</c:v>
                </c:pt>
                <c:pt idx="25">
                  <c:v>147.01581813146683</c:v>
                </c:pt>
                <c:pt idx="26">
                  <c:v>149.67683734811408</c:v>
                </c:pt>
                <c:pt idx="27">
                  <c:v>151.87791872970212</c:v>
                </c:pt>
                <c:pt idx="28">
                  <c:v>161.70116539673296</c:v>
                </c:pt>
                <c:pt idx="29">
                  <c:v>163.77556265184919</c:v>
                </c:pt>
                <c:pt idx="30">
                  <c:v>163.70668075911709</c:v>
                </c:pt>
                <c:pt idx="31">
                  <c:v>162.7764221185121</c:v>
                </c:pt>
                <c:pt idx="32">
                  <c:v>161.43209481230289</c:v>
                </c:pt>
                <c:pt idx="33">
                  <c:v>159.87152679216391</c:v>
                </c:pt>
                <c:pt idx="34">
                  <c:v>158.19666786932422</c:v>
                </c:pt>
                <c:pt idx="35">
                  <c:v>156.46595416094186</c:v>
                </c:pt>
                <c:pt idx="36">
                  <c:v>154.71552698440007</c:v>
                </c:pt>
                <c:pt idx="37">
                  <c:v>138.94696628375439</c:v>
                </c:pt>
                <c:pt idx="38">
                  <c:v>127.87174562370832</c:v>
                </c:pt>
                <c:pt idx="39">
                  <c:v>120.39328596693804</c:v>
                </c:pt>
                <c:pt idx="40">
                  <c:v>115.19479799049424</c:v>
                </c:pt>
                <c:pt idx="41">
                  <c:v>111.43497035843453</c:v>
                </c:pt>
                <c:pt idx="42">
                  <c:v>108.61362828811397</c:v>
                </c:pt>
                <c:pt idx="43">
                  <c:v>106.42896389402719</c:v>
                </c:pt>
                <c:pt idx="44">
                  <c:v>104.69235012493108</c:v>
                </c:pt>
                <c:pt idx="45">
                  <c:v>103.28135738646054</c:v>
                </c:pt>
                <c:pt idx="46">
                  <c:v>96.736910045880748</c:v>
                </c:pt>
                <c:pt idx="47">
                  <c:v>94.503517574512983</c:v>
                </c:pt>
                <c:pt idx="48">
                  <c:v>93.380873208338215</c:v>
                </c:pt>
                <c:pt idx="49">
                  <c:v>92.705899414854798</c:v>
                </c:pt>
                <c:pt idx="50">
                  <c:v>92.255460430218534</c:v>
                </c:pt>
                <c:pt idx="51">
                  <c:v>91.933533274751667</c:v>
                </c:pt>
                <c:pt idx="52">
                  <c:v>91.692001536586105</c:v>
                </c:pt>
                <c:pt idx="53">
                  <c:v>91.504098852301269</c:v>
                </c:pt>
                <c:pt idx="54">
                  <c:v>91.353751737714489</c:v>
                </c:pt>
                <c:pt idx="55">
                  <c:v>90.676976253757374</c:v>
                </c:pt>
              </c:numCache>
            </c:numRef>
          </c:yVal>
          <c:smooth val="1"/>
        </c:ser>
        <c:dLbls>
          <c:showLegendKey val="0"/>
          <c:showVal val="0"/>
          <c:showCatName val="0"/>
          <c:showSerName val="0"/>
          <c:showPercent val="0"/>
          <c:showBubbleSize val="0"/>
        </c:dLbls>
        <c:axId val="199648384"/>
        <c:axId val="199638016"/>
      </c:scatterChart>
      <c:valAx>
        <c:axId val="199625728"/>
        <c:scaling>
          <c:logBase val="10"/>
          <c:orientation val="minMax"/>
        </c:scaling>
        <c:delete val="0"/>
        <c:axPos val="b"/>
        <c:majorGridlines/>
        <c:title>
          <c:tx>
            <c:rich>
              <a:bodyPr/>
              <a:lstStyle/>
              <a:p>
                <a:pPr>
                  <a:defRPr/>
                </a:pPr>
                <a:r>
                  <a:rPr lang="en-US"/>
                  <a:t>Frequency</a:t>
                </a:r>
                <a:r>
                  <a:rPr lang="en-US" baseline="0"/>
                  <a:t> (Hz)</a:t>
                </a:r>
                <a:endParaRPr lang="en-US"/>
              </a:p>
            </c:rich>
          </c:tx>
          <c:layout/>
          <c:overlay val="0"/>
        </c:title>
        <c:numFmt formatCode="General" sourceLinked="0"/>
        <c:majorTickMark val="out"/>
        <c:minorTickMark val="none"/>
        <c:tickLblPos val="low"/>
        <c:crossAx val="199636096"/>
        <c:crosses val="autoZero"/>
        <c:crossBetween val="midCat"/>
      </c:valAx>
      <c:valAx>
        <c:axId val="199636096"/>
        <c:scaling>
          <c:orientation val="minMax"/>
        </c:scaling>
        <c:delete val="0"/>
        <c:axPos val="l"/>
        <c:majorGridlines/>
        <c:title>
          <c:tx>
            <c:rich>
              <a:bodyPr rot="-5400000" vert="horz"/>
              <a:lstStyle/>
              <a:p>
                <a:pPr>
                  <a:defRPr/>
                </a:pPr>
                <a:r>
                  <a:rPr lang="en-US"/>
                  <a:t>Gain (dB)</a:t>
                </a:r>
              </a:p>
            </c:rich>
          </c:tx>
          <c:layout/>
          <c:overlay val="0"/>
        </c:title>
        <c:numFmt formatCode="General" sourceLinked="0"/>
        <c:majorTickMark val="out"/>
        <c:minorTickMark val="none"/>
        <c:tickLblPos val="nextTo"/>
        <c:crossAx val="199625728"/>
        <c:crosses val="autoZero"/>
        <c:crossBetween val="midCat"/>
        <c:majorUnit val="20"/>
      </c:valAx>
      <c:valAx>
        <c:axId val="199638016"/>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199648384"/>
        <c:crosses val="max"/>
        <c:crossBetween val="midCat"/>
      </c:valAx>
      <c:valAx>
        <c:axId val="199648384"/>
        <c:scaling>
          <c:logBase val="10"/>
          <c:orientation val="minMax"/>
        </c:scaling>
        <c:delete val="1"/>
        <c:axPos val="b"/>
        <c:majorGridlines/>
        <c:minorGridlines/>
        <c:numFmt formatCode="##0.000E+0" sourceLinked="1"/>
        <c:majorTickMark val="out"/>
        <c:minorTickMark val="none"/>
        <c:tickLblPos val="nextTo"/>
        <c:crossAx val="19963801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 OPTO Coupled Compensation</a:t>
            </a:r>
            <a:endParaRPr lang="en-US">
              <a:effectLst/>
            </a:endParaRPr>
          </a:p>
        </c:rich>
      </c:tx>
      <c:layout/>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36.074146183192738</c:v>
                </c:pt>
                <c:pt idx="1">
                  <c:v>30.053598424390358</c:v>
                </c:pt>
                <c:pt idx="2">
                  <c:v>26.531860166012521</c:v>
                </c:pt>
                <c:pt idx="3">
                  <c:v>24.033207122751445</c:v>
                </c:pt>
                <c:pt idx="4">
                  <c:v>22.095163314739402</c:v>
                </c:pt>
                <c:pt idx="5">
                  <c:v>20.51172960541993</c:v>
                </c:pt>
                <c:pt idx="6">
                  <c:v>19.173019779329451</c:v>
                </c:pt>
                <c:pt idx="7">
                  <c:v>18.013441555756359</c:v>
                </c:pt>
                <c:pt idx="8">
                  <c:v>16.990686565984305</c:v>
                </c:pt>
                <c:pt idx="9">
                  <c:v>16.075866950043526</c:v>
                </c:pt>
                <c:pt idx="10">
                  <c:v>10.060477318587804</c:v>
                </c:pt>
                <c:pt idx="11">
                  <c:v>6.5473220617681696</c:v>
                </c:pt>
                <c:pt idx="12">
                  <c:v>4.060656194356163</c:v>
                </c:pt>
                <c:pt idx="13">
                  <c:v>2.1379749868204621</c:v>
                </c:pt>
                <c:pt idx="14">
                  <c:v>0.57324272883455862</c:v>
                </c:pt>
                <c:pt idx="15">
                  <c:v>-0.74347090924857928</c:v>
                </c:pt>
                <c:pt idx="16">
                  <c:v>-1.8778095255453811</c:v>
                </c:pt>
                <c:pt idx="17">
                  <c:v>-2.8721396240178727</c:v>
                </c:pt>
                <c:pt idx="18">
                  <c:v>-3.7554135900705967</c:v>
                </c:pt>
                <c:pt idx="19">
                  <c:v>-9.3014769688044137</c:v>
                </c:pt>
                <c:pt idx="20">
                  <c:v>-12.132212029581078</c:v>
                </c:pt>
                <c:pt idx="21">
                  <c:v>-13.817813609490713</c:v>
                </c:pt>
                <c:pt idx="22">
                  <c:v>-14.894261186547919</c:v>
                </c:pt>
                <c:pt idx="23">
                  <c:v>-15.614648798053878</c:v>
                </c:pt>
                <c:pt idx="24">
                  <c:v>-16.115171429571301</c:v>
                </c:pt>
                <c:pt idx="25">
                  <c:v>-16.474261642445892</c:v>
                </c:pt>
                <c:pt idx="26">
                  <c:v>-16.73919953505704</c:v>
                </c:pt>
                <c:pt idx="27">
                  <c:v>-16.939551705854022</c:v>
                </c:pt>
                <c:pt idx="28">
                  <c:v>-17.667142563375513</c:v>
                </c:pt>
                <c:pt idx="29">
                  <c:v>-17.848537444936152</c:v>
                </c:pt>
                <c:pt idx="30">
                  <c:v>-17.951771712439029</c:v>
                </c:pt>
                <c:pt idx="31">
                  <c:v>-18.04136324817868</c:v>
                </c:pt>
                <c:pt idx="32">
                  <c:v>-18.133242965770197</c:v>
                </c:pt>
                <c:pt idx="33">
                  <c:v>-18.232435705914302</c:v>
                </c:pt>
                <c:pt idx="34">
                  <c:v>-18.340557908950114</c:v>
                </c:pt>
                <c:pt idx="35">
                  <c:v>-18.457911310082839</c:v>
                </c:pt>
                <c:pt idx="36">
                  <c:v>-18.584214256970316</c:v>
                </c:pt>
                <c:pt idx="37">
                  <c:v>-20.186866637834878</c:v>
                </c:pt>
                <c:pt idx="38">
                  <c:v>-21.98435622935078</c:v>
                </c:pt>
                <c:pt idx="39">
                  <c:v>-23.670369160966249</c:v>
                </c:pt>
                <c:pt idx="40">
                  <c:v>-25.173739797658207</c:v>
                </c:pt>
                <c:pt idx="41">
                  <c:v>-26.501519829454466</c:v>
                </c:pt>
                <c:pt idx="42">
                  <c:v>-27.678566776204864</c:v>
                </c:pt>
                <c:pt idx="43">
                  <c:v>-28.73000582464941</c:v>
                </c:pt>
                <c:pt idx="44">
                  <c:v>-29.677141237464127</c:v>
                </c:pt>
                <c:pt idx="45">
                  <c:v>-30.537162910106925</c:v>
                </c:pt>
                <c:pt idx="46">
                  <c:v>-36.376645324281959</c:v>
                </c:pt>
                <c:pt idx="47">
                  <c:v>-39.864084493822737</c:v>
                </c:pt>
                <c:pt idx="48">
                  <c:v>-42.350759454575872</c:v>
                </c:pt>
                <c:pt idx="49">
                  <c:v>-44.283347805979034</c:v>
                </c:pt>
                <c:pt idx="50">
                  <c:v>-45.863921237805471</c:v>
                </c:pt>
                <c:pt idx="51">
                  <c:v>-47.201016041116844</c:v>
                </c:pt>
                <c:pt idx="52">
                  <c:v>-48.359659689680811</c:v>
                </c:pt>
                <c:pt idx="53">
                  <c:v>-49.381890460766286</c:v>
                </c:pt>
                <c:pt idx="54">
                  <c:v>-50.296453866223345</c:v>
                </c:pt>
                <c:pt idx="55">
                  <c:v>-56.315178292302519</c:v>
                </c:pt>
              </c:numCache>
            </c:numRef>
          </c:yVal>
          <c:smooth val="1"/>
        </c:ser>
        <c:dLbls>
          <c:showLegendKey val="0"/>
          <c:showVal val="0"/>
          <c:showCatName val="0"/>
          <c:showSerName val="0"/>
          <c:showPercent val="0"/>
          <c:showBubbleSize val="0"/>
        </c:dLbls>
        <c:axId val="199683072"/>
        <c:axId val="201462912"/>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90.112273046939066</c:v>
                </c:pt>
                <c:pt idx="1">
                  <c:v>90.224545175521428</c:v>
                </c:pt>
                <c:pt idx="2">
                  <c:v>90.336815467434477</c:v>
                </c:pt>
                <c:pt idx="3">
                  <c:v>90.449083004453897</c:v>
                </c:pt>
                <c:pt idx="4">
                  <c:v>90.561346868487746</c:v>
                </c:pt>
                <c:pt idx="5">
                  <c:v>90.673606141620525</c:v>
                </c:pt>
                <c:pt idx="6">
                  <c:v>90.785859906157356</c:v>
                </c:pt>
                <c:pt idx="7">
                  <c:v>90.898107244667926</c:v>
                </c:pt>
                <c:pt idx="8">
                  <c:v>91.010347240030569</c:v>
                </c:pt>
                <c:pt idx="9">
                  <c:v>91.122578975476259</c:v>
                </c:pt>
                <c:pt idx="10">
                  <c:v>92.244240685243639</c:v>
                </c:pt>
                <c:pt idx="11">
                  <c:v>93.364072259448179</c:v>
                </c:pt>
                <c:pt idx="12">
                  <c:v>94.481169567412735</c:v>
                </c:pt>
                <c:pt idx="13">
                  <c:v>95.594641457061542</c:v>
                </c:pt>
                <c:pt idx="14">
                  <c:v>96.703613841376395</c:v>
                </c:pt>
                <c:pt idx="15">
                  <c:v>97.807233586154652</c:v>
                </c:pt>
                <c:pt idx="16">
                  <c:v>98.90467215760728</c:v>
                </c:pt>
                <c:pt idx="17">
                  <c:v>99.995128993388974</c:v>
                </c:pt>
                <c:pt idx="18">
                  <c:v>101.07783456632013</c:v>
                </c:pt>
                <c:pt idx="19">
                  <c:v>111.3358597267499</c:v>
                </c:pt>
                <c:pt idx="20">
                  <c:v>120.26284869277177</c:v>
                </c:pt>
                <c:pt idx="21">
                  <c:v>127.72186563070386</c:v>
                </c:pt>
                <c:pt idx="22">
                  <c:v>133.8238776703771</c:v>
                </c:pt>
                <c:pt idx="23">
                  <c:v>138.77947083210617</c:v>
                </c:pt>
                <c:pt idx="24">
                  <c:v>142.80821449379866</c:v>
                </c:pt>
                <c:pt idx="25">
                  <c:v>146.10125660176064</c:v>
                </c:pt>
                <c:pt idx="26">
                  <c:v>148.8128024796477</c:v>
                </c:pt>
                <c:pt idx="27">
                  <c:v>151.06320968801123</c:v>
                </c:pt>
                <c:pt idx="28">
                  <c:v>161.20920326165938</c:v>
                </c:pt>
                <c:pt idx="29">
                  <c:v>163.41975574129057</c:v>
                </c:pt>
                <c:pt idx="30">
                  <c:v>163.41891065308928</c:v>
                </c:pt>
                <c:pt idx="31">
                  <c:v>162.52701583446023</c:v>
                </c:pt>
                <c:pt idx="32">
                  <c:v>161.20590512649358</c:v>
                </c:pt>
                <c:pt idx="33">
                  <c:v>159.65999041155143</c:v>
                </c:pt>
                <c:pt idx="34">
                  <c:v>157.99461993045347</c:v>
                </c:pt>
                <c:pt idx="35">
                  <c:v>156.27015466350346</c:v>
                </c:pt>
                <c:pt idx="36">
                  <c:v>154.52390181143537</c:v>
                </c:pt>
                <c:pt idx="37">
                  <c:v>138.76937439384659</c:v>
                </c:pt>
                <c:pt idx="38">
                  <c:v>127.7116740124636</c:v>
                </c:pt>
                <c:pt idx="39">
                  <c:v>120.25357470186337</c:v>
                </c:pt>
                <c:pt idx="40">
                  <c:v>115.07331745123896</c:v>
                </c:pt>
                <c:pt idx="41">
                  <c:v>111.3285792740587</c:v>
                </c:pt>
                <c:pt idx="42">
                  <c:v>108.51950015012685</c:v>
                </c:pt>
                <c:pt idx="43">
                  <c:v>106.3448269655339</c:v>
                </c:pt>
                <c:pt idx="44">
                  <c:v>104.61643303222905</c:v>
                </c:pt>
                <c:pt idx="45">
                  <c:v>103.21228301429713</c:v>
                </c:pt>
                <c:pt idx="46">
                  <c:v>96.701108196778762</c:v>
                </c:pt>
                <c:pt idx="47">
                  <c:v>94.479485561898798</c:v>
                </c:pt>
                <c:pt idx="48">
                  <c:v>93.362805653289016</c:v>
                </c:pt>
                <c:pt idx="49">
                  <c:v>92.691429180288452</c:v>
                </c:pt>
                <c:pt idx="50">
                  <c:v>92.243394557661347</c:v>
                </c:pt>
                <c:pt idx="51">
                  <c:v>91.923187298502782</c:v>
                </c:pt>
                <c:pt idx="52">
                  <c:v>91.682946647928716</c:v>
                </c:pt>
                <c:pt idx="53">
                  <c:v>91.496048745765663</c:v>
                </c:pt>
                <c:pt idx="54">
                  <c:v>91.346505793964482</c:v>
                </c:pt>
                <c:pt idx="55">
                  <c:v>90.673351925636879</c:v>
                </c:pt>
              </c:numCache>
            </c:numRef>
          </c:yVal>
          <c:smooth val="1"/>
        </c:ser>
        <c:dLbls>
          <c:showLegendKey val="0"/>
          <c:showVal val="0"/>
          <c:showCatName val="0"/>
          <c:showSerName val="0"/>
          <c:showPercent val="0"/>
          <c:showBubbleSize val="0"/>
        </c:dLbls>
        <c:axId val="201467008"/>
        <c:axId val="201464832"/>
      </c:scatterChart>
      <c:valAx>
        <c:axId val="199683072"/>
        <c:scaling>
          <c:logBase val="10"/>
          <c:orientation val="minMax"/>
        </c:scaling>
        <c:delete val="0"/>
        <c:axPos val="b"/>
        <c:majorGridlines/>
        <c:title>
          <c:tx>
            <c:rich>
              <a:bodyPr/>
              <a:lstStyle/>
              <a:p>
                <a:pPr>
                  <a:defRPr/>
                </a:pPr>
                <a:r>
                  <a:rPr lang="en-US"/>
                  <a:t>Frequency</a:t>
                </a:r>
                <a:r>
                  <a:rPr lang="en-US" baseline="0"/>
                  <a:t> (Hz)</a:t>
                </a:r>
                <a:endParaRPr lang="en-US"/>
              </a:p>
            </c:rich>
          </c:tx>
          <c:layout/>
          <c:overlay val="0"/>
        </c:title>
        <c:numFmt formatCode="General" sourceLinked="0"/>
        <c:majorTickMark val="out"/>
        <c:minorTickMark val="none"/>
        <c:tickLblPos val="low"/>
        <c:crossAx val="201462912"/>
        <c:crosses val="autoZero"/>
        <c:crossBetween val="midCat"/>
      </c:valAx>
      <c:valAx>
        <c:axId val="201462912"/>
        <c:scaling>
          <c:orientation val="minMax"/>
        </c:scaling>
        <c:delete val="0"/>
        <c:axPos val="l"/>
        <c:majorGridlines/>
        <c:title>
          <c:tx>
            <c:rich>
              <a:bodyPr rot="-5400000" vert="horz"/>
              <a:lstStyle/>
              <a:p>
                <a:pPr>
                  <a:defRPr/>
                </a:pPr>
                <a:r>
                  <a:rPr lang="en-US"/>
                  <a:t>Gain (dB)</a:t>
                </a:r>
              </a:p>
            </c:rich>
          </c:tx>
          <c:layout/>
          <c:overlay val="0"/>
        </c:title>
        <c:numFmt formatCode="General" sourceLinked="0"/>
        <c:majorTickMark val="out"/>
        <c:minorTickMark val="none"/>
        <c:tickLblPos val="nextTo"/>
        <c:crossAx val="199683072"/>
        <c:crosses val="autoZero"/>
        <c:crossBetween val="midCat"/>
        <c:majorUnit val="20"/>
      </c:valAx>
      <c:valAx>
        <c:axId val="201464832"/>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0"/>
        <c:majorTickMark val="out"/>
        <c:minorTickMark val="none"/>
        <c:tickLblPos val="nextTo"/>
        <c:crossAx val="201467008"/>
        <c:crosses val="max"/>
        <c:crossBetween val="midCat"/>
      </c:valAx>
      <c:valAx>
        <c:axId val="201467008"/>
        <c:scaling>
          <c:logBase val="10"/>
          <c:orientation val="minMax"/>
        </c:scaling>
        <c:delete val="1"/>
        <c:axPos val="b"/>
        <c:majorGridlines/>
        <c:minorGridlines/>
        <c:numFmt formatCode="##0.000E+0" sourceLinked="1"/>
        <c:majorTickMark val="out"/>
        <c:minorTickMark val="none"/>
        <c:tickLblPos val="nextTo"/>
        <c:crossAx val="201464832"/>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Flyback_CCM_Calc!$Q$4:$Q$54</c:f>
              <c:numCache>
                <c:formatCode>0.0000</c:formatCode>
                <c:ptCount val="51"/>
                <c:pt idx="0">
                  <c:v>0.49995283463824169</c:v>
                </c:pt>
                <c:pt idx="1">
                  <c:v>0.4791861430216936</c:v>
                </c:pt>
                <c:pt idx="2">
                  <c:v>0.46007583438658872</c:v>
                </c:pt>
                <c:pt idx="3">
                  <c:v>0.44243133549150782</c:v>
                </c:pt>
                <c:pt idx="4">
                  <c:v>0.42609022822357356</c:v>
                </c:pt>
                <c:pt idx="5">
                  <c:v>0.41091323528271606</c:v>
                </c:pt>
                <c:pt idx="6">
                  <c:v>0.39678024064347273</c:v>
                </c:pt>
                <c:pt idx="7">
                  <c:v>0.38358710394631518</c:v>
                </c:pt>
                <c:pt idx="8">
                  <c:v>0.3712430899753158</c:v>
                </c:pt>
                <c:pt idx="9">
                  <c:v>0.3596687789855712</c:v>
                </c:pt>
                <c:pt idx="10">
                  <c:v>0.34879435611245657</c:v>
                </c:pt>
                <c:pt idx="11">
                  <c:v>0.33855820198765607</c:v>
                </c:pt>
                <c:pt idx="12">
                  <c:v>0.32890572444898986</c:v>
                </c:pt>
                <c:pt idx="13">
                  <c:v>0.31978838456182351</c:v>
                </c:pt>
                <c:pt idx="14">
                  <c:v>0.31116288026452371</c:v>
                </c:pt>
                <c:pt idx="15">
                  <c:v>0.3029904586589528</c:v>
                </c:pt>
                <c:pt idx="16">
                  <c:v>0.29523633390003856</c:v>
                </c:pt>
                <c:pt idx="17">
                  <c:v>0.28786919223904656</c:v>
                </c:pt>
                <c:pt idx="18">
                  <c:v>0.28086076936773474</c:v>
                </c:pt>
                <c:pt idx="19">
                  <c:v>0.27418548803464876</c:v>
                </c:pt>
                <c:pt idx="20">
                  <c:v>0.26782014613884197</c:v>
                </c:pt>
                <c:pt idx="21">
                  <c:v>0.26174364728413807</c:v>
                </c:pt>
                <c:pt idx="22">
                  <c:v>0.25593676719991654</c:v>
                </c:pt>
                <c:pt idx="23">
                  <c:v>0.25038195057932711</c:v>
                </c:pt>
                <c:pt idx="24">
                  <c:v>0.2450631338118692</c:v>
                </c:pt>
                <c:pt idx="25">
                  <c:v>0.23996558983994745</c:v>
                </c:pt>
                <c:pt idx="26">
                  <c:v>0.23507579198364936</c:v>
                </c:pt>
                <c:pt idx="27">
                  <c:v>0.23038129408215657</c:v>
                </c:pt>
                <c:pt idx="28">
                  <c:v>0.22587062471553088</c:v>
                </c:pt>
                <c:pt idx="29">
                  <c:v>0.22153319361415938</c:v>
                </c:pt>
                <c:pt idx="30">
                  <c:v>0.2173592086484358</c:v>
                </c:pt>
                <c:pt idx="31">
                  <c:v>0.21333960202906088</c:v>
                </c:pt>
                <c:pt idx="32">
                  <c:v>0.20946596454729266</c:v>
                </c:pt>
                <c:pt idx="33">
                  <c:v>0.20573048685149284</c:v>
                </c:pt>
                <c:pt idx="34">
                  <c:v>0.20212590689699361</c:v>
                </c:pt>
                <c:pt idx="35">
                  <c:v>0.19864546282518825</c:v>
                </c:pt>
                <c:pt idx="36">
                  <c:v>0.195282850628516</c:v>
                </c:pt>
                <c:pt idx="37">
                  <c:v>0.19203218604368044</c:v>
                </c:pt>
                <c:pt idx="38">
                  <c:v>0.18888797018848882</c:v>
                </c:pt>
                <c:pt idx="39">
                  <c:v>0.18584505852015437</c:v>
                </c:pt>
                <c:pt idx="40">
                  <c:v>0.18289863274644727</c:v>
                </c:pt>
                <c:pt idx="41">
                  <c:v>0.18004417536710327</c:v>
                </c:pt>
                <c:pt idx="42">
                  <c:v>0.17727744656255687</c:v>
                </c:pt>
                <c:pt idx="43">
                  <c:v>0.17459446318132193</c:v>
                </c:pt>
                <c:pt idx="44">
                  <c:v>0.1719914796070027</c:v>
                </c:pt>
                <c:pt idx="45">
                  <c:v>0.16946497031165567</c:v>
                </c:pt>
                <c:pt idx="46">
                  <c:v>0.16701161392460906</c:v>
                </c:pt>
                <c:pt idx="47">
                  <c:v>0.16462827866535545</c:v>
                </c:pt>
                <c:pt idx="48">
                  <c:v>0.16231200900617279</c:v>
                </c:pt>
                <c:pt idx="49">
                  <c:v>0.16006001344504114</c:v>
                </c:pt>
                <c:pt idx="50">
                  <c:v>0.15786965328249733</c:v>
                </c:pt>
              </c:numCache>
            </c:numRef>
          </c:yVal>
          <c:smooth val="1"/>
        </c:ser>
        <c:dLbls>
          <c:showLegendKey val="0"/>
          <c:showVal val="0"/>
          <c:showCatName val="0"/>
          <c:showSerName val="0"/>
          <c:showPercent val="0"/>
          <c:showBubbleSize val="0"/>
        </c:dLbls>
        <c:axId val="201503872"/>
        <c:axId val="201505792"/>
      </c:scatterChart>
      <c:valAx>
        <c:axId val="201503872"/>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1505792"/>
        <c:crosses val="autoZero"/>
        <c:crossBetween val="midCat"/>
      </c:valAx>
      <c:valAx>
        <c:axId val="201505792"/>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201503872"/>
        <c:crosses val="autoZero"/>
        <c:crossBetween val="midCat"/>
      </c:valAx>
    </c:plotArea>
    <c:legend>
      <c:legendPos val="r"/>
      <c:layout>
        <c:manualLayout>
          <c:xMode val="edge"/>
          <c:yMode val="edge"/>
          <c:x val="0.63880555555555552"/>
          <c:y val="0.21483595800524935"/>
          <c:w val="0.13669444444444445"/>
          <c:h val="8.4008889132760847E-2"/>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Flyback_CCM_Calc!$U$4:$U$54</c:f>
              <c:numCache>
                <c:formatCode>General</c:formatCode>
                <c:ptCount val="51"/>
                <c:pt idx="0">
                  <c:v>1.5742051021517358</c:v>
                </c:pt>
                <c:pt idx="1">
                  <c:v>1.518972577930259</c:v>
                </c:pt>
                <c:pt idx="2">
                  <c:v>1.4721607293368464</c:v>
                </c:pt>
                <c:pt idx="3">
                  <c:v>1.4320039582043715</c:v>
                </c:pt>
                <c:pt idx="4">
                  <c:v>1.3971950470417001</c:v>
                </c:pt>
                <c:pt idx="5">
                  <c:v>1.3667459312293142</c:v>
                </c:pt>
                <c:pt idx="6">
                  <c:v>1.3398962278014135</c:v>
                </c:pt>
                <c:pt idx="7">
                  <c:v>1.3160514604947178</c:v>
                </c:pt>
                <c:pt idx="8">
                  <c:v>1.2947403222991571</c:v>
                </c:pt>
                <c:pt idx="9">
                  <c:v>1.2755844731132229</c:v>
                </c:pt>
                <c:pt idx="10">
                  <c:v>1.2582767885027517</c:v>
                </c:pt>
                <c:pt idx="11">
                  <c:v>1.2425654274375721</c:v>
                </c:pt>
                <c:pt idx="12">
                  <c:v>1.2282419830708446</c:v>
                </c:pt>
                <c:pt idx="13">
                  <c:v>1.2151325477338246</c:v>
                </c:pt>
                <c:pt idx="14">
                  <c:v>1.203090890301715</c:v>
                </c:pt>
                <c:pt idx="15">
                  <c:v>1.1919931864220983</c:v>
                </c:pt>
                <c:pt idx="16">
                  <c:v>1.1817339050963906</c:v>
                </c:pt>
                <c:pt idx="17">
                  <c:v>1.1722225666000288</c:v>
                </c:pt>
                <c:pt idx="18">
                  <c:v>1.1633811641782468</c:v>
                </c:pt>
                <c:pt idx="19">
                  <c:v>1.1551420965260419</c:v>
                </c:pt>
                <c:pt idx="20">
                  <c:v>1.1474464970198102</c:v>
                </c:pt>
                <c:pt idx="21">
                  <c:v>1.1402428738211958</c:v>
                </c:pt>
                <c:pt idx="22">
                  <c:v>1.1334859955493302</c:v>
                </c:pt>
                <c:pt idx="23">
                  <c:v>1.12713597241448</c:v>
                </c:pt>
                <c:pt idx="24">
                  <c:v>1.1211574940412941</c:v>
                </c:pt>
                <c:pt idx="25">
                  <c:v>1.1155191937428039</c:v>
                </c:pt>
                <c:pt idx="26">
                  <c:v>1.1101931154856635</c:v>
                </c:pt>
                <c:pt idx="27">
                  <c:v>1.1051542647471662</c:v>
                </c:pt>
                <c:pt idx="28">
                  <c:v>1.1003802282907951</c:v>
                </c:pt>
                <c:pt idx="29">
                  <c:v>1.0958508508600402</c:v>
                </c:pt>
                <c:pt idx="30">
                  <c:v>1.0915479591160393</c:v>
                </c:pt>
                <c:pt idx="31">
                  <c:v>1.0874551249759783</c:v>
                </c:pt>
                <c:pt idx="32">
                  <c:v>1.0835574619600634</c:v>
                </c:pt>
                <c:pt idx="33">
                  <c:v>1.0798414493110571</c:v>
                </c:pt>
                <c:pt idx="34">
                  <c:v>1.076294779576811</c:v>
                </c:pt>
                <c:pt idx="35">
                  <c:v>1.0729062260924953</c:v>
                </c:pt>
                <c:pt idx="36">
                  <c:v>1.0696655274034048</c:v>
                </c:pt>
                <c:pt idx="37">
                  <c:v>1.0665632861607131</c:v>
                </c:pt>
                <c:pt idx="38">
                  <c:v>1.0635908804241823</c:v>
                </c:pt>
                <c:pt idx="39">
                  <c:v>1.0607403856355238</c:v>
                </c:pt>
                <c:pt idx="40">
                  <c:v>1.0580045057978329</c:v>
                </c:pt>
                <c:pt idx="41">
                  <c:v>1.0553765126214081</c:v>
                </c:pt>
                <c:pt idx="42">
                  <c:v>1.0528501915830808</c:v>
                </c:pt>
                <c:pt idx="43">
                  <c:v>1.0504197940019737</c:v>
                </c:pt>
                <c:pt idx="44">
                  <c:v>1.0480799943649557</c:v>
                </c:pt>
                <c:pt idx="45">
                  <c:v>1.0458258522445352</c:v>
                </c:pt>
                <c:pt idx="46">
                  <c:v>1.0436527782441365</c:v>
                </c:pt>
                <c:pt idx="47">
                  <c:v>1.041556503483648</c:v>
                </c:pt>
                <c:pt idx="48">
                  <c:v>1.0395330522041843</c:v>
                </c:pt>
                <c:pt idx="49">
                  <c:v>1.0375787171271813</c:v>
                </c:pt>
                <c:pt idx="50">
                  <c:v>1.0356900372508242</c:v>
                </c:pt>
              </c:numCache>
            </c:numRef>
          </c:yVal>
          <c:smooth val="1"/>
        </c:ser>
        <c:dLbls>
          <c:showLegendKey val="0"/>
          <c:showVal val="0"/>
          <c:showCatName val="0"/>
          <c:showSerName val="0"/>
          <c:showPercent val="0"/>
          <c:showBubbleSize val="0"/>
        </c:dLbls>
        <c:axId val="201526656"/>
        <c:axId val="201537024"/>
      </c:scatterChart>
      <c:valAx>
        <c:axId val="20152665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1537024"/>
        <c:crosses val="autoZero"/>
        <c:crossBetween val="midCat"/>
      </c:valAx>
      <c:valAx>
        <c:axId val="201537024"/>
        <c:scaling>
          <c:orientation val="minMax"/>
        </c:scaling>
        <c:delete val="0"/>
        <c:axPos val="l"/>
        <c:majorGridlines/>
        <c:title>
          <c:tx>
            <c:rich>
              <a:bodyPr rot="-5400000" vert="horz"/>
              <a:lstStyle/>
              <a:p>
                <a:pPr>
                  <a:defRPr/>
                </a:pPr>
                <a:r>
                  <a:rPr lang="en-US"/>
                  <a:t>Primary</a:t>
                </a:r>
                <a:r>
                  <a:rPr lang="en-US" baseline="0"/>
                  <a:t> Peak Current (A)</a:t>
                </a:r>
                <a:endParaRPr lang="en-US"/>
              </a:p>
            </c:rich>
          </c:tx>
          <c:layout/>
          <c:overlay val="0"/>
        </c:title>
        <c:numFmt formatCode="General" sourceLinked="0"/>
        <c:majorTickMark val="out"/>
        <c:minorTickMark val="none"/>
        <c:tickLblPos val="nextTo"/>
        <c:crossAx val="201526656"/>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Flyback_CCM_Calc!$W$4:$W$54</c:f>
              <c:numCache>
                <c:formatCode>0.000</c:formatCode>
                <c:ptCount val="51"/>
                <c:pt idx="0">
                  <c:v>1.0482965760689618</c:v>
                </c:pt>
                <c:pt idx="1">
                  <c:v>0.98548518797328344</c:v>
                </c:pt>
                <c:pt idx="2">
                  <c:v>0.93156665739035005</c:v>
                </c:pt>
                <c:pt idx="3">
                  <c:v>0.88472684447562178</c:v>
                </c:pt>
                <c:pt idx="4">
                  <c:v>0.84361674509778184</c:v>
                </c:pt>
                <c:pt idx="5">
                  <c:v>0.80721210276353972</c:v>
                </c:pt>
                <c:pt idx="6">
                  <c:v>0.77472101049792563</c:v>
                </c:pt>
                <c:pt idx="7">
                  <c:v>0.74552138921864275</c:v>
                </c:pt>
                <c:pt idx="8">
                  <c:v>0.71911764408271894</c:v>
                </c:pt>
                <c:pt idx="9">
                  <c:v>0.69510996637025912</c:v>
                </c:pt>
                <c:pt idx="10">
                  <c:v>0.67317217399688511</c:v>
                </c:pt>
                <c:pt idx="11">
                  <c:v>0.65303544090578269</c:v>
                </c:pt>
                <c:pt idx="12">
                  <c:v>0.63447616573249355</c:v>
                </c:pt>
                <c:pt idx="13">
                  <c:v>0.61730680022553919</c:v>
                </c:pt>
                <c:pt idx="14">
                  <c:v>0.60136882715817208</c:v>
                </c:pt>
                <c:pt idx="15">
                  <c:v>0.58652732154309506</c:v>
                </c:pt>
                <c:pt idx="16">
                  <c:v>0.57266669330639641</c:v>
                </c:pt>
                <c:pt idx="17">
                  <c:v>0.55968732211964078</c:v>
                </c:pt>
                <c:pt idx="18">
                  <c:v>0.5475028733612497</c:v>
                </c:pt>
                <c:pt idx="19">
                  <c:v>0.5360381393978243</c:v>
                </c:pt>
                <c:pt idx="20">
                  <c:v>0.52522728984919365</c:v>
                </c:pt>
                <c:pt idx="21">
                  <c:v>0.5150124430647125</c:v>
                </c:pt>
                <c:pt idx="22">
                  <c:v>0.50534249194374858</c:v>
                </c:pt>
                <c:pt idx="23">
                  <c:v>0.49617213269644833</c:v>
                </c:pt>
                <c:pt idx="24">
                  <c:v>0.48746105669210993</c:v>
                </c:pt>
                <c:pt idx="25">
                  <c:v>0.47917327425171979</c:v>
                </c:pt>
                <c:pt idx="26">
                  <c:v>0.47127654586492701</c:v>
                </c:pt>
                <c:pt idx="27">
                  <c:v>0.46374190139063243</c:v>
                </c:pt>
                <c:pt idx="28">
                  <c:v>0.45654323172483435</c:v>
                </c:pt>
                <c:pt idx="29">
                  <c:v>0.44965694047387689</c:v>
                </c:pt>
                <c:pt idx="30">
                  <c:v>0.44306164556503086</c:v>
                </c:pt>
                <c:pt idx="31">
                  <c:v>0.43673792261453109</c:v>
                </c:pt>
                <c:pt idx="32">
                  <c:v>0.43066808337179391</c:v>
                </c:pt>
                <c:pt idx="33">
                  <c:v>0.42483598375491305</c:v>
                </c:pt>
                <c:pt idx="34">
                  <c:v>0.41922685695293788</c:v>
                </c:pt>
                <c:pt idx="35">
                  <c:v>0.41382716784553131</c:v>
                </c:pt>
                <c:pt idx="36">
                  <c:v>0.4086244856192906</c:v>
                </c:pt>
                <c:pt idx="37">
                  <c:v>0.40360737197241542</c:v>
                </c:pt>
                <c:pt idx="38">
                  <c:v>0.39876528271895179</c:v>
                </c:pt>
                <c:pt idx="39">
                  <c:v>0.39408848094887844</c:v>
                </c:pt>
                <c:pt idx="40">
                  <c:v>0.38956796018524981</c:v>
                </c:pt>
                <c:pt idx="41">
                  <c:v>0.385195376215898</c:v>
                </c:pt>
                <c:pt idx="42">
                  <c:v>0.38096298647387267</c:v>
                </c:pt>
                <c:pt idx="43">
                  <c:v>0.37686359600514169</c:v>
                </c:pt>
                <c:pt idx="44">
                  <c:v>0.37289050919985528</c:v>
                </c:pt>
                <c:pt idx="45">
                  <c:v>0.36903748657941998</c:v>
                </c:pt>
                <c:pt idx="46">
                  <c:v>0.36529870602948977</c:v>
                </c:pt>
                <c:pt idx="47">
                  <c:v>0.36166872795186195</c:v>
                </c:pt>
                <c:pt idx="48">
                  <c:v>0.35814246387865745</c:v>
                </c:pt>
                <c:pt idx="49">
                  <c:v>0.35471514815214911</c:v>
                </c:pt>
                <c:pt idx="50">
                  <c:v>0.35138231232483247</c:v>
                </c:pt>
              </c:numCache>
            </c:numRef>
          </c:yVal>
          <c:smooth val="1"/>
        </c:ser>
        <c:dLbls>
          <c:showLegendKey val="0"/>
          <c:showVal val="0"/>
          <c:showCatName val="0"/>
          <c:showSerName val="0"/>
          <c:showPercent val="0"/>
          <c:showBubbleSize val="0"/>
        </c:dLbls>
        <c:axId val="201582464"/>
        <c:axId val="201584640"/>
      </c:scatterChart>
      <c:valAx>
        <c:axId val="20158246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1584640"/>
        <c:crosses val="autoZero"/>
        <c:crossBetween val="midCat"/>
      </c:valAx>
      <c:valAx>
        <c:axId val="201584640"/>
        <c:scaling>
          <c:orientation val="minMax"/>
        </c:scaling>
        <c:delete val="0"/>
        <c:axPos val="l"/>
        <c:majorGridlines/>
        <c:title>
          <c:tx>
            <c:rich>
              <a:bodyPr rot="-5400000" vert="horz"/>
              <a:lstStyle/>
              <a:p>
                <a:pPr>
                  <a:defRPr/>
                </a:pPr>
                <a:r>
                  <a:rPr lang="en-US"/>
                  <a:t>Primary RMS </a:t>
                </a:r>
                <a:r>
                  <a:rPr lang="en-US" baseline="0"/>
                  <a:t>Current (A)</a:t>
                </a:r>
                <a:endParaRPr lang="en-US"/>
              </a:p>
            </c:rich>
          </c:tx>
          <c:layout/>
          <c:overlay val="0"/>
        </c:title>
        <c:numFmt formatCode="General" sourceLinked="0"/>
        <c:majorTickMark val="out"/>
        <c:minorTickMark val="none"/>
        <c:tickLblPos val="nextTo"/>
        <c:crossAx val="201582464"/>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Opto Closed Loop {VIN MIN,</a:t>
            </a:r>
            <a:r>
              <a:rPr lang="en-US" baseline="0"/>
              <a:t> FULL LOAD}</a:t>
            </a:r>
            <a:endParaRPr lang="en-US"/>
          </a:p>
        </c:rich>
      </c:tx>
      <c:layout/>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60.777609267603268</c:v>
                </c:pt>
                <c:pt idx="1">
                  <c:v>54.757056199883181</c:v>
                </c:pt>
                <c:pt idx="2">
                  <c:v>51.235309093139605</c:v>
                </c:pt>
                <c:pt idx="3">
                  <c:v>48.73664366181049</c:v>
                </c:pt>
                <c:pt idx="4">
                  <c:v>46.798583925672034</c:v>
                </c:pt>
                <c:pt idx="5">
                  <c:v>45.215130747710262</c:v>
                </c:pt>
                <c:pt idx="6">
                  <c:v>43.876397911902409</c:v>
                </c:pt>
                <c:pt idx="7">
                  <c:v>42.716793136876433</c:v>
                </c:pt>
                <c:pt idx="8">
                  <c:v>41.694008053153851</c:v>
                </c:pt>
                <c:pt idx="9">
                  <c:v>40.779154799901789</c:v>
                </c:pt>
                <c:pt idx="10">
                  <c:v>34.763233648510095</c:v>
                </c:pt>
                <c:pt idx="11">
                  <c:v>31.249190841469208</c:v>
                </c:pt>
                <c:pt idx="12">
                  <c:v>28.761278894871285</c:v>
                </c:pt>
                <c:pt idx="13">
                  <c:v>26.836989634010166</c:v>
                </c:pt>
                <c:pt idx="14">
                  <c:v>25.270283008377358</c:v>
                </c:pt>
                <c:pt idx="15">
                  <c:v>23.951223517272403</c:v>
                </c:pt>
                <c:pt idx="16">
                  <c:v>22.814161635990672</c:v>
                </c:pt>
                <c:pt idx="17">
                  <c:v>21.816724263330947</c:v>
                </c:pt>
                <c:pt idx="18">
                  <c:v>20.929951838613704</c:v>
                </c:pt>
                <c:pt idx="19">
                  <c:v>15.325599261624326</c:v>
                </c:pt>
                <c:pt idx="20">
                  <c:v>12.389001765532392</c:v>
                </c:pt>
                <c:pt idx="21">
                  <c:v>10.546353999074384</c:v>
                </c:pt>
                <c:pt idx="22">
                  <c:v>9.2639463845852461</c:v>
                </c:pt>
                <c:pt idx="23">
                  <c:v>8.2949546808890613</c:v>
                </c:pt>
                <c:pt idx="24">
                  <c:v>7.5110484603855063</c:v>
                </c:pt>
                <c:pt idx="25">
                  <c:v>6.8416908669924865</c:v>
                </c:pt>
                <c:pt idx="26">
                  <c:v>6.2467631462942563</c:v>
                </c:pt>
                <c:pt idx="27">
                  <c:v>5.7028394749141214</c:v>
                </c:pt>
                <c:pt idx="28">
                  <c:v>1.520344243253497</c:v>
                </c:pt>
                <c:pt idx="29">
                  <c:v>-1.4885932871938419</c:v>
                </c:pt>
                <c:pt idx="30">
                  <c:v>-3.8195890229283709</c:v>
                </c:pt>
                <c:pt idx="31">
                  <c:v>-5.7162683478484251</c:v>
                </c:pt>
                <c:pt idx="32">
                  <c:v>-7.3190680493728486</c:v>
                </c:pt>
                <c:pt idx="33">
                  <c:v>-8.7129572962061861</c:v>
                </c:pt>
                <c:pt idx="34">
                  <c:v>-9.9521535254158664</c:v>
                </c:pt>
                <c:pt idx="35">
                  <c:v>-11.072914762496303</c:v>
                </c:pt>
                <c:pt idx="36">
                  <c:v>-12.100449223532545</c:v>
                </c:pt>
                <c:pt idx="37">
                  <c:v>-19.684180414996018</c:v>
                </c:pt>
                <c:pt idx="38">
                  <c:v>-25.001787923639341</c:v>
                </c:pt>
                <c:pt idx="39">
                  <c:v>-29.188349837472707</c:v>
                </c:pt>
                <c:pt idx="40">
                  <c:v>-32.631165873023022</c:v>
                </c:pt>
                <c:pt idx="41">
                  <c:v>-35.54280412606839</c:v>
                </c:pt>
                <c:pt idx="42">
                  <c:v>-38.058109351918489</c:v>
                </c:pt>
                <c:pt idx="43">
                  <c:v>-40.267955799441275</c:v>
                </c:pt>
                <c:pt idx="44">
                  <c:v>-42.236079573767157</c:v>
                </c:pt>
                <c:pt idx="45">
                  <c:v>-44.008644942910266</c:v>
                </c:pt>
                <c:pt idx="46">
                  <c:v>-55.820063643726996</c:v>
                </c:pt>
                <c:pt idx="47">
                  <c:v>-62.746205403378006</c:v>
                </c:pt>
                <c:pt idx="48">
                  <c:v>-67.61744055042108</c:v>
                </c:pt>
                <c:pt idx="49">
                  <c:v>-71.345539045872528</c:v>
                </c:pt>
                <c:pt idx="50">
                  <c:v>-74.341428794578178</c:v>
                </c:pt>
                <c:pt idx="51">
                  <c:v>-76.826589491415376</c:v>
                </c:pt>
                <c:pt idx="52">
                  <c:v>-78.934771299078051</c:v>
                </c:pt>
                <c:pt idx="53">
                  <c:v>-80.753402827939581</c:v>
                </c:pt>
                <c:pt idx="54">
                  <c:v>-82.343053587092442</c:v>
                </c:pt>
                <c:pt idx="55">
                  <c:v>-91.712730296011301</c:v>
                </c:pt>
              </c:numCache>
            </c:numRef>
          </c:yVal>
          <c:smooth val="1"/>
        </c:ser>
        <c:dLbls>
          <c:showLegendKey val="0"/>
          <c:showVal val="0"/>
          <c:showCatName val="0"/>
          <c:showSerName val="0"/>
          <c:showPercent val="0"/>
          <c:showBubbleSize val="0"/>
        </c:dLbls>
        <c:axId val="202926336"/>
        <c:axId val="202932608"/>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90.064394273117287</c:v>
                </c:pt>
                <c:pt idx="1">
                  <c:v>90.128787592159014</c:v>
                </c:pt>
                <c:pt idx="2">
                  <c:v>90.193179003101747</c:v>
                </c:pt>
                <c:pt idx="3">
                  <c:v>90.25756755202633</c:v>
                </c:pt>
                <c:pt idx="4">
                  <c:v>90.321952285169914</c:v>
                </c:pt>
                <c:pt idx="5">
                  <c:v>90.38633224897815</c:v>
                </c:pt>
                <c:pt idx="6">
                  <c:v>90.450706490157174</c:v>
                </c:pt>
                <c:pt idx="7">
                  <c:v>90.515074055725677</c:v>
                </c:pt>
                <c:pt idx="8">
                  <c:v>90.579433993066857</c:v>
                </c:pt>
                <c:pt idx="9">
                  <c:v>90.643785349980377</c:v>
                </c:pt>
                <c:pt idx="10">
                  <c:v>91.286617912963322</c:v>
                </c:pt>
                <c:pt idx="11">
                  <c:v>91.92755009256679</c:v>
                </c:pt>
                <c:pt idx="12">
                  <c:v>92.565644606466634</c:v>
                </c:pt>
                <c:pt idx="13">
                  <c:v>93.199979477097571</c:v>
                </c:pt>
                <c:pt idx="14">
                  <c:v>93.829652827193144</c:v>
                </c:pt>
                <c:pt idx="15">
                  <c:v>94.453787422315727</c:v>
                </c:pt>
                <c:pt idx="16">
                  <c:v>95.071534908356426</c:v>
                </c:pt>
                <c:pt idx="17">
                  <c:v>95.68207969884989</c:v>
                </c:pt>
                <c:pt idx="18">
                  <c:v>96.284642474617044</c:v>
                </c:pt>
                <c:pt idx="19">
                  <c:v>101.730578545432</c:v>
                </c:pt>
                <c:pt idx="20">
                  <c:v>105.85370927430378</c:v>
                </c:pt>
                <c:pt idx="21">
                  <c:v>108.58351247606005</c:v>
                </c:pt>
                <c:pt idx="22">
                  <c:v>110.10295154296011</c:v>
                </c:pt>
                <c:pt idx="23">
                  <c:v>110.6781259402326</c:v>
                </c:pt>
                <c:pt idx="24">
                  <c:v>110.56259911817365</c:v>
                </c:pt>
                <c:pt idx="25">
                  <c:v>109.96316246781674</c:v>
                </c:pt>
                <c:pt idx="26">
                  <c:v>109.03631553499319</c:v>
                </c:pt>
                <c:pt idx="27">
                  <c:v>107.89581356379743</c:v>
                </c:pt>
                <c:pt idx="28">
                  <c:v>94.487910622224362</c:v>
                </c:pt>
                <c:pt idx="29">
                  <c:v>83.433451214923707</c:v>
                </c:pt>
                <c:pt idx="30">
                  <c:v>74.317632884329484</c:v>
                </c:pt>
                <c:pt idx="31">
                  <c:v>66.27183806517867</c:v>
                </c:pt>
                <c:pt idx="32">
                  <c:v>58.8735082391715</c:v>
                </c:pt>
                <c:pt idx="33">
                  <c:v>51.915770732712474</c:v>
                </c:pt>
                <c:pt idx="34">
                  <c:v>45.290907443746832</c:v>
                </c:pt>
                <c:pt idx="35">
                  <c:v>38.939608195000794</c:v>
                </c:pt>
                <c:pt idx="36">
                  <c:v>32.827653962500911</c:v>
                </c:pt>
                <c:pt idx="37">
                  <c:v>-17.614328904173597</c:v>
                </c:pt>
                <c:pt idx="38">
                  <c:v>-52.319655563278438</c:v>
                </c:pt>
                <c:pt idx="39">
                  <c:v>-76.096357545797943</c:v>
                </c:pt>
                <c:pt idx="40">
                  <c:v>-92.797846321307546</c:v>
                </c:pt>
                <c:pt idx="41">
                  <c:v>-104.92429155534508</c:v>
                </c:pt>
                <c:pt idx="42">
                  <c:v>-114.01074475682574</c:v>
                </c:pt>
                <c:pt idx="43">
                  <c:v>-121.00753327281969</c:v>
                </c:pt>
                <c:pt idx="44">
                  <c:v>-126.51984754480972</c:v>
                </c:pt>
                <c:pt idx="45">
                  <c:v>-130.94590249837421</c:v>
                </c:pt>
                <c:pt idx="46">
                  <c:v>-149.70882496950085</c:v>
                </c:pt>
                <c:pt idx="47">
                  <c:v>-153.85488390034109</c:v>
                </c:pt>
                <c:pt idx="48">
                  <c:v>-154.27586539588225</c:v>
                </c:pt>
                <c:pt idx="49">
                  <c:v>-153.26130379835897</c:v>
                </c:pt>
                <c:pt idx="50">
                  <c:v>-151.59330136214541</c:v>
                </c:pt>
                <c:pt idx="51">
                  <c:v>-149.61436461451055</c:v>
                </c:pt>
                <c:pt idx="52">
                  <c:v>-147.49865946278831</c:v>
                </c:pt>
                <c:pt idx="53">
                  <c:v>-145.34336064757989</c:v>
                </c:pt>
                <c:pt idx="54">
                  <c:v>-143.20567636653627</c:v>
                </c:pt>
                <c:pt idx="55">
                  <c:v>-126.18525790810583</c:v>
                </c:pt>
              </c:numCache>
            </c:numRef>
          </c:yVal>
          <c:smooth val="1"/>
        </c:ser>
        <c:dLbls>
          <c:showLegendKey val="0"/>
          <c:showVal val="0"/>
          <c:showCatName val="0"/>
          <c:showSerName val="0"/>
          <c:showPercent val="0"/>
          <c:showBubbleSize val="0"/>
        </c:dLbls>
        <c:axId val="202944896"/>
        <c:axId val="202934528"/>
      </c:scatterChart>
      <c:valAx>
        <c:axId val="202926336"/>
        <c:scaling>
          <c:logBase val="10"/>
          <c:orientation val="minMax"/>
        </c:scaling>
        <c:delete val="0"/>
        <c:axPos val="b"/>
        <c:majorGridlines/>
        <c:title>
          <c:tx>
            <c:rich>
              <a:bodyPr/>
              <a:lstStyle/>
              <a:p>
                <a:pPr>
                  <a:defRPr/>
                </a:pPr>
                <a:r>
                  <a:rPr lang="en-US"/>
                  <a:t>Frequency</a:t>
                </a:r>
                <a:r>
                  <a:rPr lang="en-US" baseline="0"/>
                  <a:t> (Hz)</a:t>
                </a:r>
                <a:endParaRPr lang="en-US"/>
              </a:p>
            </c:rich>
          </c:tx>
          <c:layout/>
          <c:overlay val="0"/>
        </c:title>
        <c:numFmt formatCode="General" sourceLinked="0"/>
        <c:majorTickMark val="out"/>
        <c:minorTickMark val="none"/>
        <c:tickLblPos val="low"/>
        <c:crossAx val="202932608"/>
        <c:crosses val="autoZero"/>
        <c:crossBetween val="midCat"/>
      </c:valAx>
      <c:valAx>
        <c:axId val="202932608"/>
        <c:scaling>
          <c:orientation val="minMax"/>
        </c:scaling>
        <c:delete val="0"/>
        <c:axPos val="l"/>
        <c:majorGridlines/>
        <c:title>
          <c:tx>
            <c:rich>
              <a:bodyPr rot="-5400000" vert="horz"/>
              <a:lstStyle/>
              <a:p>
                <a:pPr>
                  <a:defRPr/>
                </a:pPr>
                <a:r>
                  <a:rPr lang="en-US"/>
                  <a:t>Gain (dB)</a:t>
                </a:r>
              </a:p>
            </c:rich>
          </c:tx>
          <c:layout/>
          <c:overlay val="0"/>
        </c:title>
        <c:numFmt formatCode="General" sourceLinked="0"/>
        <c:majorTickMark val="out"/>
        <c:minorTickMark val="none"/>
        <c:tickLblPos val="nextTo"/>
        <c:crossAx val="202926336"/>
        <c:crosses val="autoZero"/>
        <c:crossBetween val="midCat"/>
        <c:majorUnit val="20"/>
      </c:valAx>
      <c:valAx>
        <c:axId val="202934528"/>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202944896"/>
        <c:crosses val="max"/>
        <c:crossBetween val="midCat"/>
      </c:valAx>
      <c:valAx>
        <c:axId val="202944896"/>
        <c:scaling>
          <c:logBase val="10"/>
          <c:orientation val="minMax"/>
        </c:scaling>
        <c:delete val="1"/>
        <c:axPos val="b"/>
        <c:majorGridlines/>
        <c:minorGridlines/>
        <c:numFmt formatCode="##0.000E+0" sourceLinked="1"/>
        <c:majorTickMark val="out"/>
        <c:minorTickMark val="none"/>
        <c:tickLblPos val="nextTo"/>
        <c:crossAx val="20293452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Non-Opto Closed Loop {VIN MIN,</a:t>
            </a:r>
            <a:r>
              <a:rPr lang="en-US" baseline="0"/>
              <a:t> FULL LOAD}</a:t>
            </a:r>
            <a:endParaRPr lang="en-US"/>
          </a:p>
        </c:rich>
      </c:tx>
      <c:layout/>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60.00445455669967</c:v>
                </c:pt>
                <c:pt idx="1">
                  <c:v>53.983897652903401</c:v>
                </c:pt>
                <c:pt idx="2">
                  <c:v>50.462144152911947</c:v>
                </c:pt>
                <c:pt idx="3">
                  <c:v>47.963469771481627</c:v>
                </c:pt>
                <c:pt idx="4">
                  <c:v>46.025398528834565</c:v>
                </c:pt>
                <c:pt idx="5">
                  <c:v>44.44193128852983</c:v>
                </c:pt>
                <c:pt idx="6">
                  <c:v>43.103181835245053</c:v>
                </c:pt>
                <c:pt idx="7">
                  <c:v>41.943557888435571</c:v>
                </c:pt>
                <c:pt idx="8">
                  <c:v>40.920751079577471</c:v>
                </c:pt>
                <c:pt idx="9">
                  <c:v>40.00587354891919</c:v>
                </c:pt>
                <c:pt idx="10">
                  <c:v>33.989569576903143</c:v>
                </c:pt>
                <c:pt idx="11">
                  <c:v>30.474890846770528</c:v>
                </c:pt>
                <c:pt idx="12">
                  <c:v>27.986093014094678</c:v>
                </c:pt>
                <c:pt idx="13">
                  <c:v>26.060672245209062</c:v>
                </c:pt>
                <c:pt idx="14">
                  <c:v>24.492593979462093</c:v>
                </c:pt>
                <c:pt idx="15">
                  <c:v>23.171929289087103</c:v>
                </c:pt>
                <c:pt idx="16">
                  <c:v>22.033036228101295</c:v>
                </c:pt>
                <c:pt idx="17">
                  <c:v>21.033550192636898</c:v>
                </c:pt>
                <c:pt idx="18">
                  <c:v>20.1445209427159</c:v>
                </c:pt>
                <c:pt idx="19">
                  <c:v>14.508581215755514</c:v>
                </c:pt>
                <c:pt idx="20">
                  <c:v>11.532065641626053</c:v>
                </c:pt>
                <c:pt idx="21">
                  <c:v>9.6502578226728275</c:v>
                </c:pt>
                <c:pt idx="22">
                  <c:v>8.3339075475447579</c:v>
                </c:pt>
                <c:pt idx="23">
                  <c:v>7.3372333506647074</c:v>
                </c:pt>
                <c:pt idx="24">
                  <c:v>6.5313492706447107</c:v>
                </c:pt>
                <c:pt idx="25">
                  <c:v>5.8446885526866694</c:v>
                </c:pt>
                <c:pt idx="26">
                  <c:v>5.2361174905121324</c:v>
                </c:pt>
                <c:pt idx="27">
                  <c:v>4.6813647560196543</c:v>
                </c:pt>
                <c:pt idx="28">
                  <c:v>0.45634107378299404</c:v>
                </c:pt>
                <c:pt idx="29">
                  <c:v>-2.562403487622456</c:v>
                </c:pt>
                <c:pt idx="30">
                  <c:v>-4.8973193672379676</c:v>
                </c:pt>
                <c:pt idx="31">
                  <c:v>-6.7962004222754988</c:v>
                </c:pt>
                <c:pt idx="32">
                  <c:v>-8.4005686990541335</c:v>
                </c:pt>
                <c:pt idx="33">
                  <c:v>-9.7957667992988764</c:v>
                </c:pt>
                <c:pt idx="34">
                  <c:v>-11.036162578371066</c:v>
                </c:pt>
                <c:pt idx="35">
                  <c:v>-12.158079526877366</c:v>
                </c:pt>
                <c:pt idx="36">
                  <c:v>-13.186754408600587</c:v>
                </c:pt>
                <c:pt idx="37">
                  <c:v>-20.781335197281791</c:v>
                </c:pt>
                <c:pt idx="38">
                  <c:v>-26.106921691540556</c:v>
                </c:pt>
                <c:pt idx="39">
                  <c:v>-30.298473330431875</c:v>
                </c:pt>
                <c:pt idx="40">
                  <c:v>-33.744365274028269</c:v>
                </c:pt>
                <c:pt idx="41">
                  <c:v>-36.657962139201828</c:v>
                </c:pt>
                <c:pt idx="42">
                  <c:v>-39.17456757834384</c:v>
                </c:pt>
                <c:pt idx="43">
                  <c:v>-41.385312128170135</c:v>
                </c:pt>
                <c:pt idx="44">
                  <c:v>-43.354078353231188</c:v>
                </c:pt>
                <c:pt idx="45">
                  <c:v>-45.127117354724689</c:v>
                </c:pt>
                <c:pt idx="46">
                  <c:v>-56.940135199700748</c:v>
                </c:pt>
                <c:pt idx="47">
                  <c:v>-63.866588185077276</c:v>
                </c:pt>
                <c:pt idx="48">
                  <c:v>-68.737933435271259</c:v>
                </c:pt>
                <c:pt idx="49">
                  <c:v>-72.466083101365427</c:v>
                </c:pt>
                <c:pt idx="50">
                  <c:v>-75.462000702068437</c:v>
                </c:pt>
                <c:pt idx="51">
                  <c:v>-77.947178211743534</c:v>
                </c:pt>
                <c:pt idx="52">
                  <c:v>-80.055370939229505</c:v>
                </c:pt>
                <c:pt idx="53">
                  <c:v>-81.874009958166226</c:v>
                </c:pt>
                <c:pt idx="54">
                  <c:v>-83.463666076663657</c:v>
                </c:pt>
                <c:pt idx="55">
                  <c:v>-92.833359931114984</c:v>
                </c:pt>
              </c:numCache>
            </c:numRef>
          </c:yVal>
          <c:smooth val="1"/>
        </c:ser>
        <c:dLbls>
          <c:showLegendKey val="0"/>
          <c:showVal val="0"/>
          <c:showCatName val="0"/>
          <c:showSerName val="0"/>
          <c:showPercent val="0"/>
          <c:showBubbleSize val="0"/>
        </c:dLbls>
        <c:axId val="201668864"/>
        <c:axId val="201679232"/>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90.060243490302867</c:v>
                </c:pt>
                <c:pt idx="1">
                  <c:v>90.120486129641961</c:v>
                </c:pt>
                <c:pt idx="2">
                  <c:v>90.180727067097052</c:v>
                </c:pt>
                <c:pt idx="3">
                  <c:v>90.240965451835038</c:v>
                </c:pt>
                <c:pt idx="4">
                  <c:v>90.301200433153539</c:v>
                </c:pt>
                <c:pt idx="5">
                  <c:v>90.361431160524319</c:v>
                </c:pt>
                <c:pt idx="6">
                  <c:v>90.421656783636919</c:v>
                </c:pt>
                <c:pt idx="7">
                  <c:v>90.481876452442023</c:v>
                </c:pt>
                <c:pt idx="8">
                  <c:v>90.542089317195064</c:v>
                </c:pt>
                <c:pt idx="9">
                  <c:v>90.602294528499456</c:v>
                </c:pt>
                <c:pt idx="10">
                  <c:v>91.203739170184264</c:v>
                </c:pt>
                <c:pt idx="11">
                  <c:v>91.803488377380631</c:v>
                </c:pt>
                <c:pt idx="12">
                  <c:v>92.400705228282831</c:v>
                </c:pt>
                <c:pt idx="13">
                  <c:v>92.994565610021198</c:v>
                </c:pt>
                <c:pt idx="14">
                  <c:v>93.5842622491177</c:v>
                </c:pt>
                <c:pt idx="15">
                  <c:v>94.169008543716174</c:v>
                </c:pt>
                <c:pt idx="16">
                  <c:v>94.748042156239435</c:v>
                </c:pt>
                <c:pt idx="17">
                  <c:v>95.320628330178351</c:v>
                </c:pt>
                <c:pt idx="18">
                  <c:v>95.8860629003822</c:v>
                </c:pt>
                <c:pt idx="19">
                  <c:v>101.01831985902331</c:v>
                </c:pt>
                <c:pt idx="20">
                  <c:v>104.94624886956208</c:v>
                </c:pt>
                <c:pt idx="21">
                  <c:v>107.58404202342875</c:v>
                </c:pt>
                <c:pt idx="22">
                  <c:v>109.08163202672128</c:v>
                </c:pt>
                <c:pt idx="23">
                  <c:v>109.67567064628754</c:v>
                </c:pt>
                <c:pt idx="24">
                  <c:v>109.59970610450826</c:v>
                </c:pt>
                <c:pt idx="25">
                  <c:v>109.04860093811067</c:v>
                </c:pt>
                <c:pt idx="26">
                  <c:v>108.17228066652679</c:v>
                </c:pt>
                <c:pt idx="27">
                  <c:v>107.08110452210649</c:v>
                </c:pt>
                <c:pt idx="28">
                  <c:v>93.995948487150756</c:v>
                </c:pt>
                <c:pt idx="29">
                  <c:v>83.077644304365123</c:v>
                </c:pt>
                <c:pt idx="30">
                  <c:v>74.029862778301649</c:v>
                </c:pt>
                <c:pt idx="31">
                  <c:v>66.022431781126784</c:v>
                </c:pt>
                <c:pt idx="32">
                  <c:v>58.64731855336229</c:v>
                </c:pt>
                <c:pt idx="33">
                  <c:v>51.704234352100016</c:v>
                </c:pt>
                <c:pt idx="34">
                  <c:v>45.088859504876119</c:v>
                </c:pt>
                <c:pt idx="35">
                  <c:v>38.743808697562329</c:v>
                </c:pt>
                <c:pt idx="36">
                  <c:v>32.636028789536262</c:v>
                </c:pt>
                <c:pt idx="37">
                  <c:v>-17.791920794081367</c:v>
                </c:pt>
                <c:pt idx="38">
                  <c:v>-52.479727174523234</c:v>
                </c:pt>
                <c:pt idx="39">
                  <c:v>-76.236068810872666</c:v>
                </c:pt>
                <c:pt idx="40">
                  <c:v>-92.919326860562819</c:v>
                </c:pt>
                <c:pt idx="41">
                  <c:v>-105.03068263972089</c:v>
                </c:pt>
                <c:pt idx="42">
                  <c:v>-114.10487289481287</c:v>
                </c:pt>
                <c:pt idx="43">
                  <c:v>-121.09167020131312</c:v>
                </c:pt>
                <c:pt idx="44">
                  <c:v>-126.59576463751171</c:v>
                </c:pt>
                <c:pt idx="45">
                  <c:v>-131.01497687053765</c:v>
                </c:pt>
                <c:pt idx="46">
                  <c:v>-149.74462681860288</c:v>
                </c:pt>
                <c:pt idx="47">
                  <c:v>-153.87891591295534</c:v>
                </c:pt>
                <c:pt idx="48">
                  <c:v>-154.29393295093143</c:v>
                </c:pt>
                <c:pt idx="49">
                  <c:v>-153.27577403292537</c:v>
                </c:pt>
                <c:pt idx="50">
                  <c:v>-151.60536723470247</c:v>
                </c:pt>
                <c:pt idx="51">
                  <c:v>-149.62471059075938</c:v>
                </c:pt>
                <c:pt idx="52">
                  <c:v>-147.50771435144571</c:v>
                </c:pt>
                <c:pt idx="53">
                  <c:v>-145.35141075411548</c:v>
                </c:pt>
                <c:pt idx="54">
                  <c:v>-143.21292231028627</c:v>
                </c:pt>
                <c:pt idx="55">
                  <c:v>-126.18888223622625</c:v>
                </c:pt>
              </c:numCache>
            </c:numRef>
          </c:yVal>
          <c:smooth val="1"/>
        </c:ser>
        <c:dLbls>
          <c:showLegendKey val="0"/>
          <c:showVal val="0"/>
          <c:showCatName val="0"/>
          <c:showSerName val="0"/>
          <c:showPercent val="0"/>
          <c:showBubbleSize val="0"/>
        </c:dLbls>
        <c:axId val="201687424"/>
        <c:axId val="201681152"/>
      </c:scatterChart>
      <c:valAx>
        <c:axId val="201668864"/>
        <c:scaling>
          <c:logBase val="10"/>
          <c:orientation val="minMax"/>
        </c:scaling>
        <c:delete val="0"/>
        <c:axPos val="b"/>
        <c:majorGridlines/>
        <c:title>
          <c:tx>
            <c:rich>
              <a:bodyPr/>
              <a:lstStyle/>
              <a:p>
                <a:pPr>
                  <a:defRPr/>
                </a:pPr>
                <a:r>
                  <a:rPr lang="en-US"/>
                  <a:t>Frequency</a:t>
                </a:r>
                <a:r>
                  <a:rPr lang="en-US" baseline="0"/>
                  <a:t> (Hz)</a:t>
                </a:r>
                <a:endParaRPr lang="en-US"/>
              </a:p>
            </c:rich>
          </c:tx>
          <c:layout/>
          <c:overlay val="0"/>
        </c:title>
        <c:numFmt formatCode="General" sourceLinked="0"/>
        <c:majorTickMark val="out"/>
        <c:minorTickMark val="none"/>
        <c:tickLblPos val="low"/>
        <c:crossAx val="201679232"/>
        <c:crosses val="autoZero"/>
        <c:crossBetween val="midCat"/>
      </c:valAx>
      <c:valAx>
        <c:axId val="201679232"/>
        <c:scaling>
          <c:orientation val="minMax"/>
        </c:scaling>
        <c:delete val="0"/>
        <c:axPos val="l"/>
        <c:majorGridlines/>
        <c:title>
          <c:tx>
            <c:rich>
              <a:bodyPr rot="-5400000" vert="horz"/>
              <a:lstStyle/>
              <a:p>
                <a:pPr>
                  <a:defRPr/>
                </a:pPr>
                <a:r>
                  <a:rPr lang="en-US"/>
                  <a:t>Gain (dB)</a:t>
                </a:r>
              </a:p>
            </c:rich>
          </c:tx>
          <c:layout/>
          <c:overlay val="0"/>
        </c:title>
        <c:numFmt formatCode="General" sourceLinked="0"/>
        <c:majorTickMark val="out"/>
        <c:minorTickMark val="none"/>
        <c:tickLblPos val="nextTo"/>
        <c:crossAx val="201668864"/>
        <c:crosses val="autoZero"/>
        <c:crossBetween val="midCat"/>
        <c:majorUnit val="20"/>
      </c:valAx>
      <c:valAx>
        <c:axId val="201681152"/>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0"/>
        <c:majorTickMark val="out"/>
        <c:minorTickMark val="none"/>
        <c:tickLblPos val="nextTo"/>
        <c:crossAx val="201687424"/>
        <c:crosses val="max"/>
        <c:crossBetween val="midCat"/>
      </c:valAx>
      <c:valAx>
        <c:axId val="201687424"/>
        <c:scaling>
          <c:logBase val="10"/>
          <c:orientation val="minMax"/>
        </c:scaling>
        <c:delete val="1"/>
        <c:axPos val="b"/>
        <c:majorGridlines/>
        <c:minorGridlines/>
        <c:numFmt formatCode="##0.000E+0" sourceLinked="1"/>
        <c:majorTickMark val="out"/>
        <c:minorTickMark val="none"/>
        <c:tickLblPos val="nextTo"/>
        <c:crossAx val="201681152"/>
        <c:crosses val="autoZero"/>
        <c:crossBetween val="midCat"/>
      </c:valAx>
    </c:plotArea>
    <c:legend>
      <c:legendPos val="r"/>
      <c:layout>
        <c:manualLayout>
          <c:xMode val="edge"/>
          <c:yMode val="edge"/>
          <c:x val="9.942689959453993E-2"/>
          <c:y val="0.55401309013588496"/>
          <c:w val="0.23488681960119823"/>
          <c:h val="0.27985381574138674"/>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Full</a:t>
            </a:r>
            <a:r>
              <a:rPr lang="en-US" baseline="0"/>
              <a:t> Load Efficiency vs VIN</a:t>
            </a:r>
            <a:endParaRPr lang="en-US"/>
          </a:p>
        </c:rich>
      </c:tx>
      <c:layout/>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Flyback_CCM_Calc!$CV$4:$CV$54</c:f>
              <c:numCache>
                <c:formatCode>##0.0E+0</c:formatCode>
                <c:ptCount val="51"/>
                <c:pt idx="0">
                  <c:v>0.84898543356357647</c:v>
                </c:pt>
                <c:pt idx="1">
                  <c:v>0.85228679417954423</c:v>
                </c:pt>
                <c:pt idx="2">
                  <c:v>0.8549314345455602</c:v>
                </c:pt>
                <c:pt idx="3">
                  <c:v>0.85707606277966908</c:v>
                </c:pt>
                <c:pt idx="4">
                  <c:v>0.85883248566338932</c:v>
                </c:pt>
                <c:pt idx="5">
                  <c:v>0.86028233542106558</c:v>
                </c:pt>
                <c:pt idx="6">
                  <c:v>0.86148643197346164</c:v>
                </c:pt>
                <c:pt idx="7">
                  <c:v>0.86249090720694177</c:v>
                </c:pt>
                <c:pt idx="8">
                  <c:v>0.86333131376983252</c:v>
                </c:pt>
                <c:pt idx="9">
                  <c:v>0.86403544454759307</c:v>
                </c:pt>
                <c:pt idx="10">
                  <c:v>0.86462530690967654</c:v>
                </c:pt>
                <c:pt idx="11">
                  <c:v>0.86511853052778798</c:v>
                </c:pt>
                <c:pt idx="12">
                  <c:v>0.86552938797733936</c:v>
                </c:pt>
                <c:pt idx="13">
                  <c:v>0.86586954581032216</c:v>
                </c:pt>
                <c:pt idx="14">
                  <c:v>0.86614862490472455</c:v>
                </c:pt>
                <c:pt idx="15">
                  <c:v>0.866374623806068</c:v>
                </c:pt>
                <c:pt idx="16">
                  <c:v>0.86655424227698574</c:v>
                </c:pt>
                <c:pt idx="17">
                  <c:v>0.86669313122908453</c:v>
                </c:pt>
                <c:pt idx="18">
                  <c:v>0.86679608770237249</c:v>
                </c:pt>
                <c:pt idx="19">
                  <c:v>0.86686720837455411</c:v>
                </c:pt>
                <c:pt idx="20">
                  <c:v>0.86691001145532931</c:v>
                </c:pt>
                <c:pt idx="21">
                  <c:v>0.86692753424975111</c:v>
                </c:pt>
                <c:pt idx="22">
                  <c:v>0.8669224118303146</c:v>
                </c:pt>
                <c:pt idx="23">
                  <c:v>0.86689694091953151</c:v>
                </c:pt>
                <c:pt idx="24">
                  <c:v>0.8668531321040398</c:v>
                </c:pt>
                <c:pt idx="25">
                  <c:v>0.86679275277535839</c:v>
                </c:pt>
                <c:pt idx="26">
                  <c:v>0.86671736265006749</c:v>
                </c:pt>
                <c:pt idx="27">
                  <c:v>0.86662834331352201</c:v>
                </c:pt>
                <c:pt idx="28">
                  <c:v>0.86652692292070821</c:v>
                </c:pt>
                <c:pt idx="29">
                  <c:v>0.86641419695013822</c:v>
                </c:pt>
                <c:pt idx="30">
                  <c:v>0.86629114572332477</c:v>
                </c:pt>
                <c:pt idx="31">
                  <c:v>0.86615864926000774</c:v>
                </c:pt>
                <c:pt idx="32">
                  <c:v>0.86601749992798982</c:v>
                </c:pt>
                <c:pt idx="33">
                  <c:v>0.86586841325889785</c:v>
                </c:pt>
                <c:pt idx="34">
                  <c:v>0.86571203723190515</c:v>
                </c:pt>
                <c:pt idx="35">
                  <c:v>0.86554896027232808</c:v>
                </c:pt>
                <c:pt idx="36">
                  <c:v>0.86537971816790515</c:v>
                </c:pt>
                <c:pt idx="37">
                  <c:v>0.86520480007010547</c:v>
                </c:pt>
                <c:pt idx="38">
                  <c:v>0.86502465371915038</c:v>
                </c:pt>
                <c:pt idx="39">
                  <c:v>0.86483969000817484</c:v>
                </c:pt>
                <c:pt idx="40">
                  <c:v>0.86465028698297142</c:v>
                </c:pt>
                <c:pt idx="41">
                  <c:v>0.86445679335823522</c:v>
                </c:pt>
                <c:pt idx="42">
                  <c:v>0.86425953161844005</c:v>
                </c:pt>
                <c:pt idx="43">
                  <c:v>0.86405880076094288</c:v>
                </c:pt>
                <c:pt idx="44">
                  <c:v>0.86385487873017064</c:v>
                </c:pt>
                <c:pt idx="45">
                  <c:v>0.86364802458448453</c:v>
                </c:pt>
                <c:pt idx="46">
                  <c:v>0.86343848043126259</c:v>
                </c:pt>
                <c:pt idx="47">
                  <c:v>0.86322647316067491</c:v>
                </c:pt>
                <c:pt idx="48">
                  <c:v>0.86301221600437639</c:v>
                </c:pt>
                <c:pt idx="49">
                  <c:v>0.86279590994177136</c:v>
                </c:pt>
                <c:pt idx="50">
                  <c:v>0.86257774497349526</c:v>
                </c:pt>
              </c:numCache>
            </c:numRef>
          </c:yVal>
          <c:smooth val="1"/>
        </c:ser>
        <c:dLbls>
          <c:showLegendKey val="0"/>
          <c:showVal val="0"/>
          <c:showCatName val="0"/>
          <c:showSerName val="0"/>
          <c:showPercent val="0"/>
          <c:showBubbleSize val="0"/>
        </c:dLbls>
        <c:axId val="201707904"/>
        <c:axId val="201709824"/>
      </c:scatterChart>
      <c:valAx>
        <c:axId val="201707904"/>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01709824"/>
        <c:crosses val="autoZero"/>
        <c:crossBetween val="midCat"/>
      </c:valAx>
      <c:valAx>
        <c:axId val="201709824"/>
        <c:scaling>
          <c:orientation val="minMax"/>
        </c:scaling>
        <c:delete val="0"/>
        <c:axPos val="l"/>
        <c:majorGridlines/>
        <c:title>
          <c:tx>
            <c:rich>
              <a:bodyPr rot="-5400000" vert="horz"/>
              <a:lstStyle/>
              <a:p>
                <a:pPr>
                  <a:defRPr/>
                </a:pPr>
                <a:r>
                  <a:rPr lang="en-US"/>
                  <a:t>Efficiency</a:t>
                </a:r>
                <a:r>
                  <a:rPr lang="en-US" baseline="0"/>
                  <a:t> (%)</a:t>
                </a:r>
                <a:endParaRPr lang="en-US"/>
              </a:p>
            </c:rich>
          </c:tx>
          <c:layout/>
          <c:overlay val="0"/>
        </c:title>
        <c:numFmt formatCode="0.0%" sourceLinked="0"/>
        <c:majorTickMark val="out"/>
        <c:minorTickMark val="none"/>
        <c:tickLblPos val="nextTo"/>
        <c:crossAx val="201707904"/>
        <c:crosses val="autoZero"/>
        <c:crossBetween val="midCat"/>
      </c:valAx>
    </c:plotArea>
    <c:legend>
      <c:legendPos val="r"/>
      <c:layout>
        <c:manualLayout>
          <c:xMode val="edge"/>
          <c:yMode val="edge"/>
          <c:x val="0.17491666666666675"/>
          <c:y val="0.19256954188322781"/>
          <c:w val="0.13669444444444445"/>
          <c:h val="8.1592375289468846E-2"/>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Full</a:t>
            </a:r>
            <a:r>
              <a:rPr lang="en-US" baseline="0"/>
              <a:t> Load Efficiency vs VIN</a:t>
            </a:r>
            <a:endParaRPr lang="en-US"/>
          </a:p>
        </c:rich>
      </c:tx>
      <c:layout/>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Transformer</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Flyback_CCM_Calc!$BY$4:$BY$54</c:f>
              <c:numCache>
                <c:formatCode>##0.0E+0</c:formatCode>
                <c:ptCount val="51"/>
                <c:pt idx="0">
                  <c:v>4.3508779149519908E-2</c:v>
                </c:pt>
                <c:pt idx="1">
                  <c:v>3.7626535844939517E-2</c:v>
                </c:pt>
                <c:pt idx="2">
                  <c:v>3.2998938883787368E-2</c:v>
                </c:pt>
                <c:pt idx="3">
                  <c:v>2.9292982583471835E-2</c:v>
                </c:pt>
                <c:pt idx="4">
                  <c:v>2.6279235635334703E-2</c:v>
                </c:pt>
                <c:pt idx="5">
                  <c:v>2.3795457671480745E-2</c:v>
                </c:pt>
                <c:pt idx="6">
                  <c:v>2.1724298454605214E-2</c:v>
                </c:pt>
                <c:pt idx="7">
                  <c:v>1.9979177887160988E-2</c:v>
                </c:pt>
                <c:pt idx="8">
                  <c:v>1.8495088518572095E-2</c:v>
                </c:pt>
                <c:pt idx="9">
                  <c:v>1.7222452704683717E-2</c:v>
                </c:pt>
                <c:pt idx="10">
                  <c:v>1.6122927689594356E-2</c:v>
                </c:pt>
                <c:pt idx="11">
                  <c:v>1.5166483370385186E-2</c:v>
                </c:pt>
                <c:pt idx="12">
                  <c:v>1.4329329860995745E-2</c:v>
                </c:pt>
                <c:pt idx="13">
                  <c:v>1.35924237268128E-2</c:v>
                </c:pt>
                <c:pt idx="14">
                  <c:v>1.2940375334448011E-2</c:v>
                </c:pt>
                <c:pt idx="15">
                  <c:v>1.2360638780627575E-2</c:v>
                </c:pt>
                <c:pt idx="16">
                  <c:v>1.1842903864300409E-2</c:v>
                </c:pt>
                <c:pt idx="17">
                  <c:v>1.1378634497454956E-2</c:v>
                </c:pt>
                <c:pt idx="18">
                  <c:v>1.0960714591906723E-2</c:v>
                </c:pt>
                <c:pt idx="19">
                  <c:v>1.0583173745561468E-2</c:v>
                </c:pt>
                <c:pt idx="20">
                  <c:v>1.0240972818942281E-2</c:v>
                </c:pt>
                <c:pt idx="21">
                  <c:v>9.9298349114128933E-3</c:v>
                </c:pt>
                <c:pt idx="22">
                  <c:v>9.6461110747422217E-3</c:v>
                </c:pt>
                <c:pt idx="23">
                  <c:v>9.3866728382507886E-3</c:v>
                </c:pt>
                <c:pt idx="24">
                  <c:v>9.1488255976471464E-3</c:v>
                </c:pt>
                <c:pt idx="25">
                  <c:v>8.9302383639410406E-3</c:v>
                </c:pt>
                <c:pt idx="26">
                  <c:v>8.7288864336880108E-3</c:v>
                </c:pt>
                <c:pt idx="27">
                  <c:v>8.5430043341030402E-3</c:v>
                </c:pt>
                <c:pt idx="28">
                  <c:v>8.3710469911134067E-3</c:v>
                </c:pt>
                <c:pt idx="29">
                  <c:v>8.2116575181713017E-3</c:v>
                </c:pt>
                <c:pt idx="30">
                  <c:v>8.0636403664752984E-3</c:v>
                </c:pt>
                <c:pt idx="31">
                  <c:v>7.925938840466426E-3</c:v>
                </c:pt>
                <c:pt idx="32">
                  <c:v>7.7976161859437563E-3</c:v>
                </c:pt>
                <c:pt idx="33">
                  <c:v>7.6778396164675503E-3</c:v>
                </c:pt>
                <c:pt idx="34">
                  <c:v>7.5658667676685712E-3</c:v>
                </c:pt>
                <c:pt idx="35">
                  <c:v>7.4610341666940727E-3</c:v>
                </c:pt>
                <c:pt idx="36">
                  <c:v>7.3627473813224565E-3</c:v>
                </c:pt>
                <c:pt idx="37">
                  <c:v>7.2704725748232437E-3</c:v>
                </c:pt>
                <c:pt idx="38">
                  <c:v>7.1837292418892923E-3</c:v>
                </c:pt>
                <c:pt idx="39">
                  <c:v>7.1020839405725429E-3</c:v>
                </c:pt>
                <c:pt idx="40">
                  <c:v>7.0251448671512532E-3</c:v>
                </c:pt>
                <c:pt idx="41">
                  <c:v>6.9525571468227491E-3</c:v>
                </c:pt>
                <c:pt idx="42">
                  <c:v>6.8839987342783843E-3</c:v>
                </c:pt>
                <c:pt idx="43">
                  <c:v>6.8191768355362501E-3</c:v>
                </c:pt>
                <c:pt idx="44">
                  <c:v>6.7578247766365311E-3</c:v>
                </c:pt>
                <c:pt idx="45">
                  <c:v>6.6996992565397711E-3</c:v>
                </c:pt>
                <c:pt idx="46">
                  <c:v>6.644577931282346E-3</c:v>
                </c:pt>
                <c:pt idx="47">
                  <c:v>6.5922572845125591E-3</c:v>
                </c:pt>
                <c:pt idx="48">
                  <c:v>6.5425507462562307E-3</c:v>
                </c:pt>
                <c:pt idx="49">
                  <c:v>6.4952870273846412E-3</c:v>
                </c:pt>
                <c:pt idx="50">
                  <c:v>6.4503086419753089E-3</c:v>
                </c:pt>
              </c:numCache>
            </c:numRef>
          </c:yVal>
          <c:smooth val="1"/>
        </c:ser>
        <c:ser>
          <c:idx val="1"/>
          <c:order val="1"/>
          <c:tx>
            <c:v>MOSFET</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Flyback_CCM_Calc!$CC$4:$CC$54</c:f>
              <c:numCache>
                <c:formatCode>##0.0E+0</c:formatCode>
                <c:ptCount val="51"/>
                <c:pt idx="0">
                  <c:v>0.29374914460232415</c:v>
                </c:pt>
                <c:pt idx="1">
                  <c:v>0.29592947493232047</c:v>
                </c:pt>
                <c:pt idx="2">
                  <c:v>0.29819942285827594</c:v>
                </c:pt>
                <c:pt idx="3">
                  <c:v>0.30053520226000541</c:v>
                </c:pt>
                <c:pt idx="4">
                  <c:v>0.30292042518689044</c:v>
                </c:pt>
                <c:pt idx="5">
                  <c:v>0.30534350304122437</c:v>
                </c:pt>
                <c:pt idx="6">
                  <c:v>0.30779605366319956</c:v>
                </c:pt>
                <c:pt idx="7">
                  <c:v>0.31027189276013412</c:v>
                </c:pt>
                <c:pt idx="8">
                  <c:v>0.31276637694270126</c:v>
                </c:pt>
                <c:pt idx="9">
                  <c:v>0.31527596495060406</c:v>
                </c:pt>
                <c:pt idx="10">
                  <c:v>0.31779791801556401</c:v>
                </c:pt>
                <c:pt idx="11">
                  <c:v>0.32033009113022964</c:v>
                </c:pt>
                <c:pt idx="12">
                  <c:v>0.32287078501702526</c:v>
                </c:pt>
                <c:pt idx="13">
                  <c:v>0.32541863943062144</c:v>
                </c:pt>
                <c:pt idx="14">
                  <c:v>0.3279725551114902</c:v>
                </c:pt>
                <c:pt idx="15">
                  <c:v>0.33053163592368362</c:v>
                </c:pt>
                <c:pt idx="16">
                  <c:v>0.33309514542426943</c:v>
                </c:pt>
                <c:pt idx="17">
                  <c:v>0.33566247389267534</c:v>
                </c:pt>
                <c:pt idx="18">
                  <c:v>0.33823311303688819</c:v>
                </c:pt>
                <c:pt idx="19">
                  <c:v>0.34080663639961556</c:v>
                </c:pt>
                <c:pt idx="20">
                  <c:v>0.34338268404232342</c:v>
                </c:pt>
                <c:pt idx="21">
                  <c:v>0.34596095047210895</c:v>
                </c:pt>
                <c:pt idx="22">
                  <c:v>0.34854117504981313</c:v>
                </c:pt>
                <c:pt idx="23">
                  <c:v>0.35112313431324438</c:v>
                </c:pt>
                <c:pt idx="24">
                  <c:v>0.35370663579066752</c:v>
                </c:pt>
                <c:pt idx="25">
                  <c:v>0.3562915129828691</c:v>
                </c:pt>
                <c:pt idx="26">
                  <c:v>0.35887762126817446</c:v>
                </c:pt>
                <c:pt idx="27">
                  <c:v>0.36146483454138473</c:v>
                </c:pt>
                <c:pt idx="28">
                  <c:v>0.36405304244006609</c:v>
                </c:pt>
                <c:pt idx="29">
                  <c:v>0.36664214804375084</c:v>
                </c:pt>
                <c:pt idx="30">
                  <c:v>0.36923206595609592</c:v>
                </c:pt>
                <c:pt idx="31">
                  <c:v>0.37182272069884736</c:v>
                </c:pt>
                <c:pt idx="32">
                  <c:v>0.37441404536099065</c:v>
                </c:pt>
                <c:pt idx="33">
                  <c:v>0.37700598045778005</c:v>
                </c:pt>
                <c:pt idx="34">
                  <c:v>0.37959847296318922</c:v>
                </c:pt>
                <c:pt idx="35">
                  <c:v>0.38219147548630028</c:v>
                </c:pt>
                <c:pt idx="36">
                  <c:v>0.38478494556766862</c:v>
                </c:pt>
                <c:pt idx="37">
                  <c:v>0.38737884507609927</c:v>
                </c:pt>
                <c:pt idx="38">
                  <c:v>0.38997313968978453</c:v>
                </c:pt>
                <c:pt idx="39">
                  <c:v>0.39256779844858536</c:v>
                </c:pt>
                <c:pt idx="40">
                  <c:v>0.3951627933665216</c:v>
                </c:pt>
                <c:pt idx="41">
                  <c:v>0.39775809909539295</c:v>
                </c:pt>
                <c:pt idx="42">
                  <c:v>0.4003536926319633</c:v>
                </c:pt>
                <c:pt idx="43">
                  <c:v>0.40294955306237656</c:v>
                </c:pt>
                <c:pt idx="44">
                  <c:v>0.4055456613384929</c:v>
                </c:pt>
                <c:pt idx="45">
                  <c:v>0.40814200008166662</c:v>
                </c:pt>
                <c:pt idx="46">
                  <c:v>0.41073855341018595</c:v>
                </c:pt>
                <c:pt idx="47">
                  <c:v>0.41333530678716868</c:v>
                </c:pt>
                <c:pt idx="48">
                  <c:v>0.41593224688618807</c:v>
                </c:pt>
                <c:pt idx="49">
                  <c:v>0.4185293614723064</c:v>
                </c:pt>
                <c:pt idx="50">
                  <c:v>0.42112663929652921</c:v>
                </c:pt>
              </c:numCache>
            </c:numRef>
          </c:yVal>
          <c:smooth val="1"/>
        </c:ser>
        <c:ser>
          <c:idx val="2"/>
          <c:order val="2"/>
          <c:tx>
            <c:v>Diode</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Flyback_CCM_Calc!$CR$4:$CR$54</c:f>
              <c:numCache>
                <c:formatCode>##0.0E+0</c:formatCode>
                <c:ptCount val="51"/>
                <c:pt idx="0">
                  <c:v>0.39</c:v>
                </c:pt>
                <c:pt idx="1">
                  <c:v>0.39</c:v>
                </c:pt>
                <c:pt idx="2">
                  <c:v>0.39</c:v>
                </c:pt>
                <c:pt idx="3">
                  <c:v>0.39</c:v>
                </c:pt>
                <c:pt idx="4">
                  <c:v>0.39</c:v>
                </c:pt>
                <c:pt idx="5">
                  <c:v>0.39</c:v>
                </c:pt>
                <c:pt idx="6">
                  <c:v>0.39</c:v>
                </c:pt>
                <c:pt idx="7">
                  <c:v>0.39</c:v>
                </c:pt>
                <c:pt idx="8">
                  <c:v>0.39</c:v>
                </c:pt>
                <c:pt idx="9">
                  <c:v>0.39</c:v>
                </c:pt>
                <c:pt idx="10">
                  <c:v>0.39</c:v>
                </c:pt>
                <c:pt idx="11">
                  <c:v>0.39</c:v>
                </c:pt>
                <c:pt idx="12">
                  <c:v>0.39</c:v>
                </c:pt>
                <c:pt idx="13">
                  <c:v>0.39</c:v>
                </c:pt>
                <c:pt idx="14">
                  <c:v>0.39</c:v>
                </c:pt>
                <c:pt idx="15">
                  <c:v>0.39</c:v>
                </c:pt>
                <c:pt idx="16">
                  <c:v>0.39</c:v>
                </c:pt>
                <c:pt idx="17">
                  <c:v>0.39</c:v>
                </c:pt>
                <c:pt idx="18">
                  <c:v>0.39</c:v>
                </c:pt>
                <c:pt idx="19">
                  <c:v>0.39</c:v>
                </c:pt>
                <c:pt idx="20">
                  <c:v>0.39</c:v>
                </c:pt>
                <c:pt idx="21">
                  <c:v>0.39</c:v>
                </c:pt>
                <c:pt idx="22">
                  <c:v>0.39</c:v>
                </c:pt>
                <c:pt idx="23">
                  <c:v>0.39</c:v>
                </c:pt>
                <c:pt idx="24">
                  <c:v>0.39</c:v>
                </c:pt>
                <c:pt idx="25">
                  <c:v>0.39</c:v>
                </c:pt>
                <c:pt idx="26">
                  <c:v>0.39</c:v>
                </c:pt>
                <c:pt idx="27">
                  <c:v>0.39</c:v>
                </c:pt>
                <c:pt idx="28">
                  <c:v>0.39</c:v>
                </c:pt>
                <c:pt idx="29">
                  <c:v>0.39</c:v>
                </c:pt>
                <c:pt idx="30">
                  <c:v>0.39</c:v>
                </c:pt>
                <c:pt idx="31">
                  <c:v>0.39</c:v>
                </c:pt>
                <c:pt idx="32">
                  <c:v>0.39</c:v>
                </c:pt>
                <c:pt idx="33">
                  <c:v>0.39</c:v>
                </c:pt>
                <c:pt idx="34">
                  <c:v>0.39</c:v>
                </c:pt>
                <c:pt idx="35">
                  <c:v>0.39</c:v>
                </c:pt>
                <c:pt idx="36">
                  <c:v>0.39</c:v>
                </c:pt>
                <c:pt idx="37">
                  <c:v>0.39</c:v>
                </c:pt>
                <c:pt idx="38">
                  <c:v>0.39</c:v>
                </c:pt>
                <c:pt idx="39">
                  <c:v>0.39</c:v>
                </c:pt>
                <c:pt idx="40">
                  <c:v>0.39</c:v>
                </c:pt>
                <c:pt idx="41">
                  <c:v>0.39</c:v>
                </c:pt>
                <c:pt idx="42">
                  <c:v>0.39</c:v>
                </c:pt>
                <c:pt idx="43">
                  <c:v>0.39</c:v>
                </c:pt>
                <c:pt idx="44">
                  <c:v>0.39</c:v>
                </c:pt>
                <c:pt idx="45">
                  <c:v>0.39</c:v>
                </c:pt>
                <c:pt idx="46">
                  <c:v>0.39</c:v>
                </c:pt>
                <c:pt idx="47">
                  <c:v>0.39</c:v>
                </c:pt>
                <c:pt idx="48">
                  <c:v>0.39</c:v>
                </c:pt>
                <c:pt idx="49">
                  <c:v>0.39</c:v>
                </c:pt>
                <c:pt idx="50">
                  <c:v>0.39</c:v>
                </c:pt>
              </c:numCache>
            </c:numRef>
          </c:yVal>
          <c:smooth val="1"/>
        </c:ser>
        <c:ser>
          <c:idx val="3"/>
          <c:order val="3"/>
          <c:tx>
            <c:v>Clamp</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Flyback_CCM_Calc!$CS$4:$CS$54</c:f>
              <c:numCache>
                <c:formatCode>##0.0E+0</c:formatCode>
                <c:ptCount val="51"/>
                <c:pt idx="0">
                  <c:v>0.34000113959307376</c:v>
                </c:pt>
                <c:pt idx="1">
                  <c:v>0.31632779473906636</c:v>
                </c:pt>
                <c:pt idx="2">
                  <c:v>0.29690830454200751</c:v>
                </c:pt>
                <c:pt idx="3">
                  <c:v>0.2807173449672612</c:v>
                </c:pt>
                <c:pt idx="4">
                  <c:v>0.26702885307173951</c:v>
                </c:pt>
                <c:pt idx="5">
                  <c:v>0.25531553283829511</c:v>
                </c:pt>
                <c:pt idx="6">
                  <c:v>0.24518597094687658</c:v>
                </c:pt>
                <c:pt idx="7">
                  <c:v>0.23634400747378939</c:v>
                </c:pt>
                <c:pt idx="8">
                  <c:v>0.22856174180817013</c:v>
                </c:pt>
                <c:pt idx="9">
                  <c:v>0.22166115110127718</c:v>
                </c:pt>
                <c:pt idx="10">
                  <c:v>0.21550129710148616</c:v>
                </c:pt>
                <c:pt idx="11">
                  <c:v>0.20996924697421157</c:v>
                </c:pt>
                <c:pt idx="12">
                  <c:v>0.20497351590005652</c:v>
                </c:pt>
                <c:pt idx="13">
                  <c:v>0.20043925534858548</c:v>
                </c:pt>
                <c:pt idx="14">
                  <c:v>0.19630467110598165</c:v>
                </c:pt>
                <c:pt idx="15">
                  <c:v>0.1925183215126193</c:v>
                </c:pt>
                <c:pt idx="16">
                  <c:v>0.18903705495211479</c:v>
                </c:pt>
                <c:pt idx="17">
                  <c:v>0.18582441783275919</c:v>
                </c:pt>
                <c:pt idx="18">
                  <c:v>0.18284941313418179</c:v>
                </c:pt>
                <c:pt idx="19">
                  <c:v>0.18008552314200901</c:v>
                </c:pt>
                <c:pt idx="20">
                  <c:v>0.17750993338009258</c:v>
                </c:pt>
                <c:pt idx="21">
                  <c:v>0.17510291127241423</c:v>
                </c:pt>
                <c:pt idx="22">
                  <c:v>0.17284730488610892</c:v>
                </c:pt>
                <c:pt idx="23">
                  <c:v>0.17072813566060391</c:v>
                </c:pt>
                <c:pt idx="24">
                  <c:v>0.16873226528541105</c:v>
                </c:pt>
                <c:pt idx="25">
                  <c:v>0.16684812151354256</c:v>
                </c:pt>
                <c:pt idx="26">
                  <c:v>0.16506547114768075</c:v>
                </c:pt>
                <c:pt idx="27">
                  <c:v>0.16337523103337118</c:v>
                </c:pt>
                <c:pt idx="28">
                  <c:v>0.16176930986500268</c:v>
                </c:pt>
                <c:pt idx="29">
                  <c:v>0.16024047511882009</c:v>
                </c:pt>
                <c:pt idx="30">
                  <c:v>0.15878224059006468</c:v>
                </c:pt>
                <c:pt idx="31">
                  <c:v>0.15738877091413558</c:v>
                </c:pt>
                <c:pt idx="32">
                  <c:v>0.15605480015725276</c:v>
                </c:pt>
                <c:pt idx="33">
                  <c:v>0.15477556211709459</c:v>
                </c:pt>
                <c:pt idx="34">
                  <c:v>0.15354673041305014</c:v>
                </c:pt>
                <c:pt idx="35">
                  <c:v>0.15236436679523988</c:v>
                </c:pt>
                <c:pt idx="36">
                  <c:v>0.15122487638114732</c:v>
                </c:pt>
                <c:pt idx="37">
                  <c:v>0.15012496875367723</c:v>
                </c:pt>
                <c:pt idx="38">
                  <c:v>0.14906162403631229</c:v>
                </c:pt>
                <c:pt idx="39">
                  <c:v>0.14803206320874324</c:v>
                </c:pt>
                <c:pt idx="40">
                  <c:v>0.14703372204684351</c:v>
                </c:pt>
                <c:pt idx="41">
                  <c:v>0.14606422816958436</c:v>
                </c:pt>
                <c:pt idx="42">
                  <c:v>0.14512138075669884</c:v>
                </c:pt>
                <c:pt idx="43">
                  <c:v>0.14420313256796805</c:v>
                </c:pt>
                <c:pt idx="44">
                  <c:v>0.14330757395058513</c:v>
                </c:pt>
                <c:pt idx="45">
                  <c:v>0.14243291856727683</c:v>
                </c:pt>
                <c:pt idx="46">
                  <c:v>0.14157749061641917</c:v>
                </c:pt>
                <c:pt idx="47">
                  <c:v>0.14073971334764979</c:v>
                </c:pt>
                <c:pt idx="48">
                  <c:v>0.13991809870353727</c:v>
                </c:pt>
                <c:pt idx="49">
                  <c:v>0.13911123794062566</c:v>
                </c:pt>
                <c:pt idx="50">
                  <c:v>0.13831779310233275</c:v>
                </c:pt>
              </c:numCache>
            </c:numRef>
          </c:yVal>
          <c:smooth val="1"/>
        </c:ser>
        <c:dLbls>
          <c:showLegendKey val="0"/>
          <c:showVal val="0"/>
          <c:showCatName val="0"/>
          <c:showSerName val="0"/>
          <c:showPercent val="0"/>
          <c:showBubbleSize val="0"/>
        </c:dLbls>
        <c:axId val="201766016"/>
        <c:axId val="201767936"/>
      </c:scatterChart>
      <c:valAx>
        <c:axId val="201766016"/>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01767936"/>
        <c:crosses val="autoZero"/>
        <c:crossBetween val="midCat"/>
      </c:valAx>
      <c:valAx>
        <c:axId val="201767936"/>
        <c:scaling>
          <c:orientation val="minMax"/>
        </c:scaling>
        <c:delete val="0"/>
        <c:axPos val="l"/>
        <c:majorGridlines/>
        <c:title>
          <c:tx>
            <c:rich>
              <a:bodyPr rot="-5400000" vert="horz"/>
              <a:lstStyle/>
              <a:p>
                <a:pPr>
                  <a:defRPr/>
                </a:pPr>
                <a:r>
                  <a:rPr lang="en-US"/>
                  <a:t>Efficiency</a:t>
                </a:r>
                <a:r>
                  <a:rPr lang="en-US" baseline="0"/>
                  <a:t> (%)</a:t>
                </a:r>
                <a:endParaRPr lang="en-US"/>
              </a:p>
            </c:rich>
          </c:tx>
          <c:layout/>
          <c:overlay val="0"/>
        </c:title>
        <c:numFmt formatCode="0.0%" sourceLinked="0"/>
        <c:majorTickMark val="out"/>
        <c:minorTickMark val="none"/>
        <c:tickLblPos val="nextTo"/>
        <c:crossAx val="201766016"/>
        <c:crosses val="autoZero"/>
        <c:crossBetween val="midCat"/>
      </c:valAx>
    </c:plotArea>
    <c:legend>
      <c:legendPos val="r"/>
      <c:legendEntry>
        <c:idx val="0"/>
        <c:txPr>
          <a:bodyPr/>
          <a:lstStyle/>
          <a:p>
            <a:pPr>
              <a:defRPr sz="9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layout>
        <c:manualLayout>
          <c:xMode val="edge"/>
          <c:yMode val="edge"/>
          <c:x val="0.71936111111111123"/>
          <c:y val="0.18805757614300667"/>
          <c:w val="0.20979199475065616"/>
          <c:h val="0.2451512414740368"/>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layout/>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CCM'!$B$136,'Flyback CCM'!$B$139,'Flyback CCM'!$B$142,'Flyback CCM'!$B$145,'Flyback CCM'!$B$148,'Flyback CCM'!$B$151,'Flyback CCM'!$B$154)</c:f>
              <c:numCache>
                <c:formatCode>0.00</c:formatCode>
                <c:ptCount val="7"/>
                <c:pt idx="0">
                  <c:v>16.665094487941392</c:v>
                </c:pt>
                <c:pt idx="1">
                  <c:v>16.665094487941392</c:v>
                </c:pt>
                <c:pt idx="2">
                  <c:v>0</c:v>
                </c:pt>
                <c:pt idx="3">
                  <c:v>0</c:v>
                </c:pt>
                <c:pt idx="4">
                  <c:v>0</c:v>
                </c:pt>
                <c:pt idx="5">
                  <c:v>0</c:v>
                </c:pt>
                <c:pt idx="6">
                  <c:v>3.3330188975882784</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CCM'!$B$137,'Flyback CCM'!$B$140,'Flyback CCM'!$B$143,'Flyback CCM'!$B$146,'Flyback CCM'!$B$149,'Flyback CCM'!$B$152,'Flyback CCM'!$B$155)</c:f>
              <c:numCache>
                <c:formatCode>General</c:formatCode>
                <c:ptCount val="7"/>
                <c:pt idx="0">
                  <c:v>20</c:v>
                </c:pt>
                <c:pt idx="1">
                  <c:v>20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201812224"/>
        <c:axId val="201818496"/>
      </c:barChart>
      <c:catAx>
        <c:axId val="201812224"/>
        <c:scaling>
          <c:orientation val="minMax"/>
        </c:scaling>
        <c:delete val="0"/>
        <c:axPos val="b"/>
        <c:majorGridlines/>
        <c:title>
          <c:tx>
            <c:rich>
              <a:bodyPr/>
              <a:lstStyle/>
              <a:p>
                <a:pPr>
                  <a:defRPr/>
                </a:pPr>
                <a:r>
                  <a:rPr lang="en-US"/>
                  <a:t>Output</a:t>
                </a:r>
              </a:p>
            </c:rich>
          </c:tx>
          <c:layout/>
          <c:overlay val="0"/>
        </c:title>
        <c:majorTickMark val="out"/>
        <c:minorTickMark val="none"/>
        <c:tickLblPos val="nextTo"/>
        <c:crossAx val="201818496"/>
        <c:crosses val="autoZero"/>
        <c:auto val="1"/>
        <c:lblAlgn val="ctr"/>
        <c:lblOffset val="100"/>
        <c:noMultiLvlLbl val="0"/>
      </c:catAx>
      <c:valAx>
        <c:axId val="201818496"/>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0.00" sourceLinked="1"/>
        <c:majorTickMark val="out"/>
        <c:minorTickMark val="none"/>
        <c:tickLblPos val="nextTo"/>
        <c:crossAx val="201812224"/>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a:t>
            </a:r>
            <a:r>
              <a:rPr lang="en-US" baseline="0"/>
              <a:t> Cycle</a:t>
            </a:r>
            <a:endParaRPr lang="en-US"/>
          </a:p>
        </c:rich>
      </c:tx>
      <c:layout/>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'Fly-Buck_Calc'!$Q$4:$Q$54</c:f>
              <c:numCache>
                <c:formatCode>General</c:formatCode>
                <c:ptCount val="51"/>
                <c:pt idx="0">
                  <c:v>0.55555555555555558</c:v>
                </c:pt>
                <c:pt idx="1">
                  <c:v>0.5112474437627812</c:v>
                </c:pt>
                <c:pt idx="2">
                  <c:v>0.47348484848484845</c:v>
                </c:pt>
                <c:pt idx="3">
                  <c:v>0.44091710758377428</c:v>
                </c:pt>
                <c:pt idx="4">
                  <c:v>0.41254125412541248</c:v>
                </c:pt>
                <c:pt idx="5">
                  <c:v>0.38759689922480617</c:v>
                </c:pt>
                <c:pt idx="6">
                  <c:v>0.36549707602339182</c:v>
                </c:pt>
                <c:pt idx="7">
                  <c:v>0.34578146611341631</c:v>
                </c:pt>
                <c:pt idx="8">
                  <c:v>0.32808398950131235</c:v>
                </c:pt>
                <c:pt idx="9">
                  <c:v>0.31210986267166041</c:v>
                </c:pt>
                <c:pt idx="10">
                  <c:v>0.29761904761904762</c:v>
                </c:pt>
                <c:pt idx="11">
                  <c:v>0.28441410693970426</c:v>
                </c:pt>
                <c:pt idx="12">
                  <c:v>0.27233115468409586</c:v>
                </c:pt>
                <c:pt idx="13">
                  <c:v>0.2612330198537095</c:v>
                </c:pt>
                <c:pt idx="14">
                  <c:v>0.25100401606425699</c:v>
                </c:pt>
                <c:pt idx="15">
                  <c:v>0.24154589371980673</c:v>
                </c:pt>
                <c:pt idx="16">
                  <c:v>0.23277467411545624</c:v>
                </c:pt>
                <c:pt idx="17">
                  <c:v>0.22461814914645106</c:v>
                </c:pt>
                <c:pt idx="18">
                  <c:v>0.2170138888888889</c:v>
                </c:pt>
                <c:pt idx="19">
                  <c:v>0.20990764063811923</c:v>
                </c:pt>
                <c:pt idx="20">
                  <c:v>0.2032520325203252</c:v>
                </c:pt>
                <c:pt idx="21">
                  <c:v>0.19700551615445233</c:v>
                </c:pt>
                <c:pt idx="22">
                  <c:v>0.19113149847094801</c:v>
                </c:pt>
                <c:pt idx="23">
                  <c:v>0.1855976243504083</c:v>
                </c:pt>
                <c:pt idx="24">
                  <c:v>0.18037518037518038</c:v>
                </c:pt>
                <c:pt idx="25">
                  <c:v>0.17543859649122806</c:v>
                </c:pt>
                <c:pt idx="26">
                  <c:v>0.17076502732240437</c:v>
                </c:pt>
                <c:pt idx="27">
                  <c:v>0.16633399866932799</c:v>
                </c:pt>
                <c:pt idx="28">
                  <c:v>0.16212710765239949</c:v>
                </c:pt>
                <c:pt idx="29">
                  <c:v>0.15812776723592661</c:v>
                </c:pt>
                <c:pt idx="30">
                  <c:v>0.15432098765432095</c:v>
                </c:pt>
                <c:pt idx="31">
                  <c:v>0.15069318866787221</c:v>
                </c:pt>
                <c:pt idx="32">
                  <c:v>0.14723203769140164</c:v>
                </c:pt>
                <c:pt idx="33">
                  <c:v>0.14392630972941853</c:v>
                </c:pt>
                <c:pt idx="34">
                  <c:v>0.14076576576576577</c:v>
                </c:pt>
                <c:pt idx="35">
                  <c:v>0.13774104683195593</c:v>
                </c:pt>
                <c:pt idx="36">
                  <c:v>0.13484358144552319</c:v>
                </c:pt>
                <c:pt idx="37">
                  <c:v>0.13206550449022716</c:v>
                </c:pt>
                <c:pt idx="38">
                  <c:v>0.12939958592132506</c:v>
                </c:pt>
                <c:pt idx="39">
                  <c:v>0.12683916793505834</c:v>
                </c:pt>
                <c:pt idx="40">
                  <c:v>0.12437810945273631</c:v>
                </c:pt>
                <c:pt idx="41">
                  <c:v>0.12201073694485114</c:v>
                </c:pt>
                <c:pt idx="42">
                  <c:v>0.11973180076628354</c:v>
                </c:pt>
                <c:pt idx="43">
                  <c:v>0.11753643629525153</c:v>
                </c:pt>
                <c:pt idx="44">
                  <c:v>0.11542012927054478</c:v>
                </c:pt>
                <c:pt idx="45">
                  <c:v>0.11337868480725623</c:v>
                </c:pt>
                <c:pt idx="46">
                  <c:v>0.11140819964349376</c:v>
                </c:pt>
                <c:pt idx="47">
                  <c:v>0.10950503723171265</c:v>
                </c:pt>
                <c:pt idx="48">
                  <c:v>0.10766580534022395</c:v>
                </c:pt>
                <c:pt idx="49">
                  <c:v>0.1058873358746294</c:v>
                </c:pt>
                <c:pt idx="50">
                  <c:v>0.10416666666666667</c:v>
                </c:pt>
              </c:numCache>
            </c:numRef>
          </c:yVal>
          <c:smooth val="1"/>
        </c:ser>
        <c:ser>
          <c:idx val="1"/>
          <c:order val="1"/>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'Fly-BB_Calc'!$Q$4:$Q$54</c:f>
              <c:numCache>
                <c:formatCode>General</c:formatCode>
                <c:ptCount val="51"/>
                <c:pt idx="0">
                  <c:v>0.5</c:v>
                </c:pt>
                <c:pt idx="1">
                  <c:v>0.47923322683706066</c:v>
                </c:pt>
                <c:pt idx="2">
                  <c:v>0.46012269938650302</c:v>
                </c:pt>
                <c:pt idx="3">
                  <c:v>0.44247787610619471</c:v>
                </c:pt>
                <c:pt idx="4">
                  <c:v>0.42613636363636359</c:v>
                </c:pt>
                <c:pt idx="5">
                  <c:v>0.41095890410958907</c:v>
                </c:pt>
                <c:pt idx="6">
                  <c:v>0.3968253968253968</c:v>
                </c:pt>
                <c:pt idx="7">
                  <c:v>0.38363171355498721</c:v>
                </c:pt>
                <c:pt idx="8">
                  <c:v>0.37128712871287128</c:v>
                </c:pt>
                <c:pt idx="9">
                  <c:v>0.35971223021582732</c:v>
                </c:pt>
                <c:pt idx="10">
                  <c:v>0.34883720930232559</c:v>
                </c:pt>
                <c:pt idx="11">
                  <c:v>0.33860045146726864</c:v>
                </c:pt>
                <c:pt idx="12">
                  <c:v>0.32894736842105265</c:v>
                </c:pt>
                <c:pt idx="13">
                  <c:v>0.31982942430703626</c:v>
                </c:pt>
                <c:pt idx="14">
                  <c:v>0.31120331950207469</c:v>
                </c:pt>
                <c:pt idx="15">
                  <c:v>0.30303030303030298</c:v>
                </c:pt>
                <c:pt idx="16">
                  <c:v>0.29527559055118108</c:v>
                </c:pt>
                <c:pt idx="17">
                  <c:v>0.28790786948176583</c:v>
                </c:pt>
                <c:pt idx="18">
                  <c:v>0.2808988764044944</c:v>
                </c:pt>
                <c:pt idx="19">
                  <c:v>0.27422303473491771</c:v>
                </c:pt>
                <c:pt idx="20">
                  <c:v>0.26785714285714285</c:v>
                </c:pt>
                <c:pt idx="21">
                  <c:v>0.26178010471204194</c:v>
                </c:pt>
                <c:pt idx="22">
                  <c:v>0.25597269624573382</c:v>
                </c:pt>
                <c:pt idx="23">
                  <c:v>0.25041736227045075</c:v>
                </c:pt>
                <c:pt idx="24">
                  <c:v>0.24509803921568629</c:v>
                </c:pt>
                <c:pt idx="25">
                  <c:v>0.24</c:v>
                </c:pt>
                <c:pt idx="26">
                  <c:v>0.23510971786833856</c:v>
                </c:pt>
                <c:pt idx="27">
                  <c:v>0.23041474654377878</c:v>
                </c:pt>
                <c:pt idx="28">
                  <c:v>0.2259036144578313</c:v>
                </c:pt>
                <c:pt idx="29">
                  <c:v>0.22156573116691283</c:v>
                </c:pt>
                <c:pt idx="30">
                  <c:v>0.21739130434782605</c:v>
                </c:pt>
                <c:pt idx="31">
                  <c:v>0.21337126600284495</c:v>
                </c:pt>
                <c:pt idx="32">
                  <c:v>0.20949720670391062</c:v>
                </c:pt>
                <c:pt idx="33">
                  <c:v>0.20576131687242796</c:v>
                </c:pt>
                <c:pt idx="34">
                  <c:v>0.20215633423180596</c:v>
                </c:pt>
                <c:pt idx="35">
                  <c:v>0.19867549668874174</c:v>
                </c:pt>
                <c:pt idx="36">
                  <c:v>0.1953125</c:v>
                </c:pt>
                <c:pt idx="37">
                  <c:v>0.19206145966709348</c:v>
                </c:pt>
                <c:pt idx="38">
                  <c:v>0.18891687657430731</c:v>
                </c:pt>
                <c:pt idx="39">
                  <c:v>0.18587360594795538</c:v>
                </c:pt>
                <c:pt idx="40">
                  <c:v>0.18292682926829268</c:v>
                </c:pt>
                <c:pt idx="41">
                  <c:v>0.18007202881152459</c:v>
                </c:pt>
                <c:pt idx="42">
                  <c:v>0.1773049645390071</c:v>
                </c:pt>
                <c:pt idx="43">
                  <c:v>0.17462165308498254</c:v>
                </c:pt>
                <c:pt idx="44">
                  <c:v>0.17201834862385321</c:v>
                </c:pt>
                <c:pt idx="45">
                  <c:v>0.16949152542372881</c:v>
                </c:pt>
                <c:pt idx="46">
                  <c:v>0.16703786191536749</c:v>
                </c:pt>
                <c:pt idx="47">
                  <c:v>0.16465422612513719</c:v>
                </c:pt>
                <c:pt idx="48">
                  <c:v>0.16233766233766234</c:v>
                </c:pt>
                <c:pt idx="49">
                  <c:v>0.16008537886873</c:v>
                </c:pt>
                <c:pt idx="50">
                  <c:v>0.15789473684210525</c:v>
                </c:pt>
              </c:numCache>
            </c:numRef>
          </c:yVal>
          <c:smooth val="1"/>
        </c:ser>
        <c:ser>
          <c:idx val="2"/>
          <c:order val="2"/>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Flyback_CCM_Calc!$Q$4:$Q$54</c:f>
              <c:numCache>
                <c:formatCode>0.0000</c:formatCode>
                <c:ptCount val="51"/>
                <c:pt idx="0">
                  <c:v>0.49995283463824169</c:v>
                </c:pt>
                <c:pt idx="1">
                  <c:v>0.4791861430216936</c:v>
                </c:pt>
                <c:pt idx="2">
                  <c:v>0.46007583438658872</c:v>
                </c:pt>
                <c:pt idx="3">
                  <c:v>0.44243133549150782</c:v>
                </c:pt>
                <c:pt idx="4">
                  <c:v>0.42609022822357356</c:v>
                </c:pt>
                <c:pt idx="5">
                  <c:v>0.41091323528271606</c:v>
                </c:pt>
                <c:pt idx="6">
                  <c:v>0.39678024064347273</c:v>
                </c:pt>
                <c:pt idx="7">
                  <c:v>0.38358710394631518</c:v>
                </c:pt>
                <c:pt idx="8">
                  <c:v>0.3712430899753158</c:v>
                </c:pt>
                <c:pt idx="9">
                  <c:v>0.3596687789855712</c:v>
                </c:pt>
                <c:pt idx="10">
                  <c:v>0.34879435611245657</c:v>
                </c:pt>
                <c:pt idx="11">
                  <c:v>0.33855820198765607</c:v>
                </c:pt>
                <c:pt idx="12">
                  <c:v>0.32890572444898986</c:v>
                </c:pt>
                <c:pt idx="13">
                  <c:v>0.31978838456182351</c:v>
                </c:pt>
                <c:pt idx="14">
                  <c:v>0.31116288026452371</c:v>
                </c:pt>
                <c:pt idx="15">
                  <c:v>0.3029904586589528</c:v>
                </c:pt>
                <c:pt idx="16">
                  <c:v>0.29523633390003856</c:v>
                </c:pt>
                <c:pt idx="17">
                  <c:v>0.28786919223904656</c:v>
                </c:pt>
                <c:pt idx="18">
                  <c:v>0.28086076936773474</c:v>
                </c:pt>
                <c:pt idx="19">
                  <c:v>0.27418548803464876</c:v>
                </c:pt>
                <c:pt idx="20">
                  <c:v>0.26782014613884197</c:v>
                </c:pt>
                <c:pt idx="21">
                  <c:v>0.26174364728413807</c:v>
                </c:pt>
                <c:pt idx="22">
                  <c:v>0.25593676719991654</c:v>
                </c:pt>
                <c:pt idx="23">
                  <c:v>0.25038195057932711</c:v>
                </c:pt>
                <c:pt idx="24">
                  <c:v>0.2450631338118692</c:v>
                </c:pt>
                <c:pt idx="25">
                  <c:v>0.23996558983994745</c:v>
                </c:pt>
                <c:pt idx="26">
                  <c:v>0.23507579198364936</c:v>
                </c:pt>
                <c:pt idx="27">
                  <c:v>0.23038129408215657</c:v>
                </c:pt>
                <c:pt idx="28">
                  <c:v>0.22587062471553088</c:v>
                </c:pt>
                <c:pt idx="29">
                  <c:v>0.22153319361415938</c:v>
                </c:pt>
                <c:pt idx="30">
                  <c:v>0.2173592086484358</c:v>
                </c:pt>
                <c:pt idx="31">
                  <c:v>0.21333960202906088</c:v>
                </c:pt>
                <c:pt idx="32">
                  <c:v>0.20946596454729266</c:v>
                </c:pt>
                <c:pt idx="33">
                  <c:v>0.20573048685149284</c:v>
                </c:pt>
                <c:pt idx="34">
                  <c:v>0.20212590689699361</c:v>
                </c:pt>
                <c:pt idx="35">
                  <c:v>0.19864546282518825</c:v>
                </c:pt>
                <c:pt idx="36">
                  <c:v>0.195282850628516</c:v>
                </c:pt>
                <c:pt idx="37">
                  <c:v>0.19203218604368044</c:v>
                </c:pt>
                <c:pt idx="38">
                  <c:v>0.18888797018848882</c:v>
                </c:pt>
                <c:pt idx="39">
                  <c:v>0.18584505852015437</c:v>
                </c:pt>
                <c:pt idx="40">
                  <c:v>0.18289863274644727</c:v>
                </c:pt>
                <c:pt idx="41">
                  <c:v>0.18004417536710327</c:v>
                </c:pt>
                <c:pt idx="42">
                  <c:v>0.17727744656255687</c:v>
                </c:pt>
                <c:pt idx="43">
                  <c:v>0.17459446318132193</c:v>
                </c:pt>
                <c:pt idx="44">
                  <c:v>0.1719914796070027</c:v>
                </c:pt>
                <c:pt idx="45">
                  <c:v>0.16946497031165567</c:v>
                </c:pt>
                <c:pt idx="46">
                  <c:v>0.16701161392460906</c:v>
                </c:pt>
                <c:pt idx="47">
                  <c:v>0.16462827866535545</c:v>
                </c:pt>
                <c:pt idx="48">
                  <c:v>0.16231200900617279</c:v>
                </c:pt>
                <c:pt idx="49">
                  <c:v>0.16006001344504114</c:v>
                </c:pt>
                <c:pt idx="50">
                  <c:v>0.15786965328249733</c:v>
                </c:pt>
              </c:numCache>
            </c:numRef>
          </c:yVal>
          <c:smooth val="1"/>
        </c:ser>
        <c:ser>
          <c:idx val="3"/>
          <c:order val="3"/>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Flyback_DCM_Calc!$N$4:$N$54</c:f>
              <c:numCache>
                <c:formatCode>0.0000</c:formatCode>
                <c:ptCount val="51"/>
                <c:pt idx="0">
                  <c:v>0.36514837167011072</c:v>
                </c:pt>
                <c:pt idx="1">
                  <c:v>0.33602610889887491</c:v>
                </c:pt>
                <c:pt idx="2">
                  <c:v>0.31120599858248071</c:v>
                </c:pt>
                <c:pt idx="3">
                  <c:v>0.28980029497627835</c:v>
                </c:pt>
                <c:pt idx="4">
                  <c:v>0.27114978094315151</c:v>
                </c:pt>
                <c:pt idx="5">
                  <c:v>0.25475467790937956</c:v>
                </c:pt>
                <c:pt idx="6">
                  <c:v>0.24022919188823075</c:v>
                </c:pt>
                <c:pt idx="7">
                  <c:v>0.22727077074903154</c:v>
                </c:pt>
                <c:pt idx="8">
                  <c:v>0.21563880216738823</c:v>
                </c:pt>
                <c:pt idx="9">
                  <c:v>0.20513953464612961</c:v>
                </c:pt>
                <c:pt idx="10">
                  <c:v>0.19561519910898789</c:v>
                </c:pt>
                <c:pt idx="11">
                  <c:v>0.18693602645227514</c:v>
                </c:pt>
                <c:pt idx="12">
                  <c:v>0.17899429983828957</c:v>
                </c:pt>
                <c:pt idx="13">
                  <c:v>0.17169986128688591</c:v>
                </c:pt>
                <c:pt idx="14">
                  <c:v>0.16497667394733917</c:v>
                </c:pt>
                <c:pt idx="15">
                  <c:v>0.15876016159570028</c:v>
                </c:pt>
                <c:pt idx="16">
                  <c:v>0.15299512779473912</c:v>
                </c:pt>
                <c:pt idx="17">
                  <c:v>0.14763411253508521</c:v>
                </c:pt>
                <c:pt idx="18">
                  <c:v>0.14263608268363701</c:v>
                </c:pt>
                <c:pt idx="19">
                  <c:v>0.13796537972422318</c:v>
                </c:pt>
                <c:pt idx="20">
                  <c:v>0.13359086768418682</c:v>
                </c:pt>
                <c:pt idx="21">
                  <c:v>0.12948523818089033</c:v>
                </c:pt>
                <c:pt idx="22">
                  <c:v>0.12562443979476287</c:v>
                </c:pt>
                <c:pt idx="23">
                  <c:v>0.12198720657130646</c:v>
                </c:pt>
                <c:pt idx="24">
                  <c:v>0.11855466612665932</c:v>
                </c:pt>
                <c:pt idx="25">
                  <c:v>0.11531001210635075</c:v>
                </c:pt>
                <c:pt idx="26">
                  <c:v>0.11223822899696026</c:v>
                </c:pt>
                <c:pt idx="27">
                  <c:v>0.10932585978147027</c:v>
                </c:pt>
                <c:pt idx="28">
                  <c:v>0.10656080885314514</c:v>
                </c:pt>
                <c:pt idx="29">
                  <c:v>0.103932174099652</c:v>
                </c:pt>
                <c:pt idx="30">
                  <c:v>0.10143010324169739</c:v>
                </c:pt>
                <c:pt idx="31">
                  <c:v>9.904567043493058E-2</c:v>
                </c:pt>
                <c:pt idx="32">
                  <c:v>9.6770769877237817E-2</c:v>
                </c:pt>
                <c:pt idx="33">
                  <c:v>9.4598023748733343E-2</c:v>
                </c:pt>
                <c:pt idx="34">
                  <c:v>9.2520702281278067E-2</c:v>
                </c:pt>
                <c:pt idx="35">
                  <c:v>9.0532654133085311E-2</c:v>
                </c:pt>
                <c:pt idx="36">
                  <c:v>8.8628245550997756E-2</c:v>
                </c:pt>
                <c:pt idx="37">
                  <c:v>8.6802307053116659E-2</c:v>
                </c:pt>
                <c:pt idx="38">
                  <c:v>8.5050086569125161E-2</c:v>
                </c:pt>
                <c:pt idx="39">
                  <c:v>8.3367208143860894E-2</c:v>
                </c:pt>
                <c:pt idx="40">
                  <c:v>8.174963544853224E-2</c:v>
                </c:pt>
                <c:pt idx="41">
                  <c:v>8.0193639459028701E-2</c:v>
                </c:pt>
                <c:pt idx="42">
                  <c:v>7.8695769756489384E-2</c:v>
                </c:pt>
                <c:pt idx="43">
                  <c:v>7.7252828985213837E-2</c:v>
                </c:pt>
                <c:pt idx="44">
                  <c:v>7.5861850069967596E-2</c:v>
                </c:pt>
                <c:pt idx="45">
                  <c:v>7.4520075851043005E-2</c:v>
                </c:pt>
                <c:pt idx="46">
                  <c:v>7.3224940842936639E-2</c:v>
                </c:pt>
                <c:pt idx="47">
                  <c:v>7.1974054862702502E-2</c:v>
                </c:pt>
                <c:pt idx="48">
                  <c:v>7.0765188308161003E-2</c:v>
                </c:pt>
                <c:pt idx="49">
                  <c:v>6.9596258895192636E-2</c:v>
                </c:pt>
                <c:pt idx="50">
                  <c:v>6.8465319688145759E-2</c:v>
                </c:pt>
              </c:numCache>
            </c:numRef>
          </c:yVal>
          <c:smooth val="1"/>
        </c:ser>
        <c:dLbls>
          <c:showLegendKey val="0"/>
          <c:showVal val="0"/>
          <c:showCatName val="0"/>
          <c:showSerName val="0"/>
          <c:showPercent val="0"/>
          <c:showBubbleSize val="0"/>
        </c:dLbls>
        <c:axId val="181592832"/>
        <c:axId val="181594752"/>
      </c:scatterChart>
      <c:valAx>
        <c:axId val="181592832"/>
        <c:scaling>
          <c:orientation val="minMax"/>
        </c:scaling>
        <c:delete val="0"/>
        <c:axPos val="b"/>
        <c:majorGridlines/>
        <c:title>
          <c:tx>
            <c:rich>
              <a:bodyPr/>
              <a:lstStyle/>
              <a:p>
                <a:pPr>
                  <a:defRPr/>
                </a:pPr>
                <a:r>
                  <a:rPr lang="en-US"/>
                  <a:t>VIN</a:t>
                </a:r>
                <a:r>
                  <a:rPr lang="en-US" baseline="0"/>
                  <a:t> (V}</a:t>
                </a:r>
              </a:p>
            </c:rich>
          </c:tx>
          <c:layout/>
          <c:overlay val="0"/>
        </c:title>
        <c:numFmt formatCode="General" sourceLinked="1"/>
        <c:majorTickMark val="out"/>
        <c:minorTickMark val="none"/>
        <c:tickLblPos val="nextTo"/>
        <c:crossAx val="181594752"/>
        <c:crosses val="autoZero"/>
        <c:crossBetween val="midCat"/>
      </c:valAx>
      <c:valAx>
        <c:axId val="181594752"/>
        <c:scaling>
          <c:orientation val="minMax"/>
        </c:scaling>
        <c:delete val="0"/>
        <c:axPos val="l"/>
        <c:majorGridlines/>
        <c:title>
          <c:tx>
            <c:rich>
              <a:bodyPr rot="-5400000" vert="horz"/>
              <a:lstStyle/>
              <a:p>
                <a:pPr>
                  <a:defRPr/>
                </a:pPr>
                <a:r>
                  <a:rPr lang="en-US"/>
                  <a:t>Duty</a:t>
                </a:r>
                <a:r>
                  <a:rPr lang="en-US" baseline="0"/>
                  <a:t> Cycle (%)</a:t>
                </a:r>
                <a:endParaRPr lang="en-US"/>
              </a:p>
            </c:rich>
          </c:tx>
          <c:layout/>
          <c:overlay val="0"/>
        </c:title>
        <c:numFmt formatCode="General" sourceLinked="1"/>
        <c:majorTickMark val="out"/>
        <c:minorTickMark val="none"/>
        <c:tickLblPos val="nextTo"/>
        <c:crossAx val="18159283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Didoe Reverse Voltage</a:t>
            </a:r>
            <a:r>
              <a:rPr lang="en-US" baseline="0"/>
              <a:t> Stress</a:t>
            </a:r>
            <a:endParaRPr lang="en-US"/>
          </a:p>
        </c:rich>
      </c:tx>
      <c:layout/>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CCM'!$B$126,'Flyback CCM'!$B$127,'Flyback CCM'!$B$128,'Flyback CCM'!$B$129,'Flyback CCM'!$B$130,'Flyback CCM'!$B$131,'Flyback CCM'!$B$132)</c:f>
              <c:numCache>
                <c:formatCode>General</c:formatCode>
                <c:ptCount val="7"/>
                <c:pt idx="0">
                  <c:v>33.271999999999998</c:v>
                </c:pt>
                <c:pt idx="1">
                  <c:v>33.271999999999998</c:v>
                </c:pt>
                <c:pt idx="2">
                  <c:v>0</c:v>
                </c:pt>
                <c:pt idx="3">
                  <c:v>0</c:v>
                </c:pt>
                <c:pt idx="4">
                  <c:v>0</c:v>
                </c:pt>
                <c:pt idx="5">
                  <c:v>0</c:v>
                </c:pt>
                <c:pt idx="6">
                  <c:v>67.072000000000003</c:v>
                </c:pt>
              </c:numCache>
            </c:numRef>
          </c:val>
        </c:ser>
        <c:dLbls>
          <c:showLegendKey val="0"/>
          <c:showVal val="0"/>
          <c:showCatName val="0"/>
          <c:showSerName val="0"/>
          <c:showPercent val="0"/>
          <c:showBubbleSize val="0"/>
        </c:dLbls>
        <c:gapWidth val="150"/>
        <c:axId val="201847552"/>
        <c:axId val="201849088"/>
      </c:barChart>
      <c:catAx>
        <c:axId val="201847552"/>
        <c:scaling>
          <c:orientation val="minMax"/>
        </c:scaling>
        <c:delete val="0"/>
        <c:axPos val="b"/>
        <c:majorTickMark val="out"/>
        <c:minorTickMark val="none"/>
        <c:tickLblPos val="nextTo"/>
        <c:crossAx val="201849088"/>
        <c:crosses val="autoZero"/>
        <c:auto val="1"/>
        <c:lblAlgn val="ctr"/>
        <c:lblOffset val="100"/>
        <c:noMultiLvlLbl val="0"/>
      </c:catAx>
      <c:valAx>
        <c:axId val="201849088"/>
        <c:scaling>
          <c:orientation val="minMax"/>
        </c:scaling>
        <c:delete val="0"/>
        <c:axPos val="l"/>
        <c:majorGridlines/>
        <c:title>
          <c:tx>
            <c:rich>
              <a:bodyPr rot="-5400000" vert="horz"/>
              <a:lstStyle/>
              <a:p>
                <a:pPr>
                  <a:defRPr/>
                </a:pPr>
                <a:r>
                  <a:rPr lang="en-US"/>
                  <a:t>Voltage</a:t>
                </a:r>
                <a:r>
                  <a:rPr lang="en-US" baseline="0"/>
                  <a:t> Stress (V)</a:t>
                </a:r>
                <a:endParaRPr lang="en-US"/>
              </a:p>
            </c:rich>
          </c:tx>
          <c:layout/>
          <c:overlay val="0"/>
        </c:title>
        <c:numFmt formatCode="General" sourceLinked="1"/>
        <c:majorTickMark val="out"/>
        <c:minorTickMark val="none"/>
        <c:tickLblPos val="nextTo"/>
        <c:crossAx val="20184755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10</c:v>
                </c:pt>
                <c:pt idx="1">
                  <c:v>5</c:v>
                </c:pt>
                <c:pt idx="2">
                  <c:v>5</c:v>
                </c:pt>
                <c:pt idx="3">
                  <c:v>0</c:v>
                </c:pt>
                <c:pt idx="4">
                  <c:v>0</c:v>
                </c:pt>
                <c:pt idx="5">
                  <c:v>0</c:v>
                </c:pt>
                <c:pt idx="6">
                  <c:v>0</c:v>
                </c:pt>
              </c:numCache>
            </c:numRef>
          </c:val>
        </c:ser>
        <c:dLbls>
          <c:showLegendKey val="0"/>
          <c:showVal val="0"/>
          <c:showCatName val="0"/>
          <c:showSerName val="0"/>
          <c:showPercent val="0"/>
          <c:showBubbleSize val="0"/>
        </c:dLbls>
        <c:gapWidth val="150"/>
        <c:axId val="202996352"/>
        <c:axId val="203014528"/>
      </c:barChart>
      <c:catAx>
        <c:axId val="202996352"/>
        <c:scaling>
          <c:orientation val="minMax"/>
        </c:scaling>
        <c:delete val="0"/>
        <c:axPos val="b"/>
        <c:majorGridlines/>
        <c:majorTickMark val="out"/>
        <c:minorTickMark val="none"/>
        <c:tickLblPos val="nextTo"/>
        <c:crossAx val="203014528"/>
        <c:crosses val="autoZero"/>
        <c:auto val="1"/>
        <c:lblAlgn val="ctr"/>
        <c:lblOffset val="100"/>
        <c:noMultiLvlLbl val="0"/>
      </c:catAx>
      <c:valAx>
        <c:axId val="203014528"/>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20299635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'Fly-Buck_Calc'!$CU$4:$CU$54</c:f>
              <c:numCache>
                <c:formatCode>##0.0E+0</c:formatCode>
                <c:ptCount val="51"/>
                <c:pt idx="0">
                  <c:v>0.88581686896666356</c:v>
                </c:pt>
                <c:pt idx="1">
                  <c:v>0.88777155416560649</c:v>
                </c:pt>
                <c:pt idx="2">
                  <c:v>0.88902601213844501</c:v>
                </c:pt>
                <c:pt idx="3">
                  <c:v>0.8897625419739591</c:v>
                </c:pt>
                <c:pt idx="4">
                  <c:v>0.89010838316853957</c:v>
                </c:pt>
                <c:pt idx="5">
                  <c:v>0.89015443925554638</c:v>
                </c:pt>
                <c:pt idx="6">
                  <c:v>0.88996700238115989</c:v>
                </c:pt>
                <c:pt idx="7">
                  <c:v>0.88959530594758707</c:v>
                </c:pt>
                <c:pt idx="8">
                  <c:v>0.88907651403507904</c:v>
                </c:pt>
                <c:pt idx="9">
                  <c:v>0.88843909274401101</c:v>
                </c:pt>
                <c:pt idx="10">
                  <c:v>0.88770513492397862</c:v>
                </c:pt>
                <c:pt idx="11">
                  <c:v>0.88689199288915699</c:v>
                </c:pt>
                <c:pt idx="12">
                  <c:v>0.88601344437422247</c:v>
                </c:pt>
                <c:pt idx="13">
                  <c:v>0.88508053790466612</c:v>
                </c:pt>
                <c:pt idx="14">
                  <c:v>0.8841022143014492</c:v>
                </c:pt>
                <c:pt idx="15">
                  <c:v>0.88308576946779216</c:v>
                </c:pt>
                <c:pt idx="16">
                  <c:v>0.88203720306393474</c:v>
                </c:pt>
                <c:pt idx="17">
                  <c:v>0.88096148407513419</c:v>
                </c:pt>
                <c:pt idx="18">
                  <c:v>0.87986275512712775</c:v>
                </c:pt>
                <c:pt idx="19">
                  <c:v>0.87874449115356001</c:v>
                </c:pt>
                <c:pt idx="20">
                  <c:v>0.87760962369208984</c:v>
                </c:pt>
                <c:pt idx="21">
                  <c:v>0.87646063905012084</c:v>
                </c:pt>
                <c:pt idx="22">
                  <c:v>0.87529965642588559</c:v>
                </c:pt>
                <c:pt idx="23">
                  <c:v>0.87412849052322483</c:v>
                </c:pt>
                <c:pt idx="24">
                  <c:v>0.87294870207567699</c:v>
                </c:pt>
                <c:pt idx="25">
                  <c:v>0.87176163887276648</c:v>
                </c:pt>
                <c:pt idx="26">
                  <c:v>0.87056846927288412</c:v>
                </c:pt>
                <c:pt idx="27">
                  <c:v>0.86937020973311696</c:v>
                </c:pt>
                <c:pt idx="28">
                  <c:v>0.86816774754480974</c:v>
                </c:pt>
                <c:pt idx="29">
                  <c:v>0.86696185970463879</c:v>
                </c:pt>
                <c:pt idx="30">
                  <c:v>0.86575322865313886</c:v>
                </c:pt>
                <c:pt idx="31">
                  <c:v>0.8645424554604294</c:v>
                </c:pt>
                <c:pt idx="32">
                  <c:v>0.86333007092103753</c:v>
                </c:pt>
                <c:pt idx="33">
                  <c:v>0.86211654492786316</c:v>
                </c:pt>
                <c:pt idx="34">
                  <c:v>0.86090229442332533</c:v>
                </c:pt>
                <c:pt idx="35">
                  <c:v>0.85968769016894719</c:v>
                </c:pt>
                <c:pt idx="36">
                  <c:v>0.85847306252961253</c:v>
                </c:pt>
                <c:pt idx="37">
                  <c:v>0.85725870643284574</c:v>
                </c:pt>
                <c:pt idx="38">
                  <c:v>0.85604488563472292</c:v>
                </c:pt>
                <c:pt idx="39">
                  <c:v>0.85483183640088634</c:v>
                </c:pt>
                <c:pt idx="40">
                  <c:v>0.85361977069242734</c:v>
                </c:pt>
                <c:pt idx="41">
                  <c:v>0.85240887893121053</c:v>
                </c:pt>
                <c:pt idx="42">
                  <c:v>0.85119933240682533</c:v>
                </c:pt>
                <c:pt idx="43">
                  <c:v>0.8499912853771987</c:v>
                </c:pt>
                <c:pt idx="44">
                  <c:v>0.84878487690656723</c:v>
                </c:pt>
                <c:pt idx="45">
                  <c:v>0.84758023247762104</c:v>
                </c:pt>
                <c:pt idx="46">
                  <c:v>0.84637746540893544</c:v>
                </c:pt>
                <c:pt idx="47">
                  <c:v>0.84517667810406705</c:v>
                </c:pt>
                <c:pt idx="48">
                  <c:v>0.84397796315474105</c:v>
                </c:pt>
                <c:pt idx="49">
                  <c:v>0.84278140431725945</c:v>
                </c:pt>
                <c:pt idx="50">
                  <c:v>0.84158707737847704</c:v>
                </c:pt>
              </c:numCache>
            </c:numRef>
          </c:yVal>
          <c:smooth val="1"/>
        </c:ser>
        <c:dLbls>
          <c:showLegendKey val="0"/>
          <c:showVal val="0"/>
          <c:showCatName val="0"/>
          <c:showSerName val="0"/>
          <c:showPercent val="0"/>
          <c:showBubbleSize val="0"/>
        </c:dLbls>
        <c:axId val="204720384"/>
        <c:axId val="205238272"/>
      </c:scatterChart>
      <c:valAx>
        <c:axId val="204720384"/>
        <c:scaling>
          <c:orientation val="minMax"/>
        </c:scaling>
        <c:delete val="0"/>
        <c:axPos val="b"/>
        <c:numFmt formatCode="General" sourceLinked="1"/>
        <c:majorTickMark val="out"/>
        <c:minorTickMark val="none"/>
        <c:tickLblPos val="nextTo"/>
        <c:crossAx val="205238272"/>
        <c:crosses val="autoZero"/>
        <c:crossBetween val="midCat"/>
      </c:valAx>
      <c:valAx>
        <c:axId val="205238272"/>
        <c:scaling>
          <c:orientation val="minMax"/>
        </c:scaling>
        <c:delete val="0"/>
        <c:axPos val="l"/>
        <c:majorGridlines/>
        <c:numFmt formatCode="##0.0E+0" sourceLinked="1"/>
        <c:majorTickMark val="out"/>
        <c:minorTickMark val="none"/>
        <c:tickLblPos val="nextTo"/>
        <c:crossAx val="2047203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DCM</a:t>
            </a:r>
            <a:r>
              <a:rPr lang="en-US" baseline="0"/>
              <a:t> PLANT GAIN</a:t>
            </a:r>
            <a:endParaRPr lang="en-US"/>
          </a:p>
        </c:rich>
      </c:tx>
      <c:layout/>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27.692986670106514</c:v>
                </c:pt>
                <c:pt idx="1">
                  <c:v>27.692981526554487</c:v>
                </c:pt>
                <c:pt idx="2">
                  <c:v>27.692972953981322</c:v>
                </c:pt>
                <c:pt idx="3">
                  <c:v>27.692960952407304</c:v>
                </c:pt>
                <c:pt idx="4">
                  <c:v>27.692945521860878</c:v>
                </c:pt>
                <c:pt idx="5">
                  <c:v>27.692926662378596</c:v>
                </c:pt>
                <c:pt idx="6">
                  <c:v>27.692904374005117</c:v>
                </c:pt>
                <c:pt idx="7">
                  <c:v>27.692878656793241</c:v>
                </c:pt>
                <c:pt idx="8">
                  <c:v>27.692849510803882</c:v>
                </c:pt>
                <c:pt idx="9">
                  <c:v>27.69281693610607</c:v>
                </c:pt>
                <c:pt idx="10">
                  <c:v>27.692302631155371</c:v>
                </c:pt>
                <c:pt idx="11">
                  <c:v>27.691445591561219</c:v>
                </c:pt>
                <c:pt idx="12">
                  <c:v>27.690246020196977</c:v>
                </c:pt>
                <c:pt idx="13">
                  <c:v>27.688704200861324</c:v>
                </c:pt>
                <c:pt idx="14">
                  <c:v>27.686820498054544</c:v>
                </c:pt>
                <c:pt idx="15">
                  <c:v>27.684595356691752</c:v>
                </c:pt>
                <c:pt idx="16">
                  <c:v>27.682029301753104</c:v>
                </c:pt>
                <c:pt idx="17">
                  <c:v>27.679122937872009</c:v>
                </c:pt>
                <c:pt idx="18">
                  <c:v>27.675876948861657</c:v>
                </c:pt>
                <c:pt idx="19">
                  <c:v>27.62494348347488</c:v>
                </c:pt>
                <c:pt idx="20">
                  <c:v>27.541359734656332</c:v>
                </c:pt>
                <c:pt idx="21">
                  <c:v>27.426980860024884</c:v>
                </c:pt>
                <c:pt idx="22">
                  <c:v>27.284214491267239</c:v>
                </c:pt>
                <c:pt idx="23">
                  <c:v>27.115864728303833</c:v>
                </c:pt>
                <c:pt idx="24">
                  <c:v>26.924970394839271</c:v>
                </c:pt>
                <c:pt idx="25">
                  <c:v>26.714654183993076</c:v>
                </c:pt>
                <c:pt idx="26">
                  <c:v>26.487994364549937</c:v>
                </c:pt>
                <c:pt idx="27">
                  <c:v>26.247925126518076</c:v>
                </c:pt>
                <c:pt idx="28">
                  <c:v>23.578272196678117</c:v>
                </c:pt>
                <c:pt idx="29">
                  <c:v>21.110018676679854</c:v>
                </c:pt>
                <c:pt idx="30">
                  <c:v>19.050036554092703</c:v>
                </c:pt>
                <c:pt idx="31">
                  <c:v>17.331022451431195</c:v>
                </c:pt>
                <c:pt idx="32">
                  <c:v>15.871306342291948</c:v>
                </c:pt>
                <c:pt idx="33">
                  <c:v>14.608870300708112</c:v>
                </c:pt>
                <c:pt idx="34">
                  <c:v>13.499456918333975</c:v>
                </c:pt>
                <c:pt idx="35">
                  <c:v>12.511364160702618</c:v>
                </c:pt>
                <c:pt idx="36">
                  <c:v>11.621438875032748</c:v>
                </c:pt>
                <c:pt idx="37">
                  <c:v>5.6841181736363202</c:v>
                </c:pt>
                <c:pt idx="38">
                  <c:v>2.1809278832598693</c:v>
                </c:pt>
                <c:pt idx="39">
                  <c:v>-0.30771975045114258</c:v>
                </c:pt>
                <c:pt idx="40">
                  <c:v>-2.2372956602833698</c:v>
                </c:pt>
                <c:pt idx="41">
                  <c:v>-3.8120694355468827</c:v>
                </c:pt>
                <c:pt idx="42">
                  <c:v>-5.1413389039982524</c:v>
                </c:pt>
                <c:pt idx="43">
                  <c:v>-6.2904557085443633</c:v>
                </c:pt>
                <c:pt idx="44">
                  <c:v>-7.3016187180622882</c:v>
                </c:pt>
                <c:pt idx="45">
                  <c:v>-8.2036637485331951</c:v>
                </c:pt>
                <c:pt idx="46">
                  <c:v>-14.025475285405893</c:v>
                </c:pt>
                <c:pt idx="47">
                  <c:v>-17.236030181169454</c:v>
                </c:pt>
                <c:pt idx="48">
                  <c:v>-19.333538973784268</c:v>
                </c:pt>
                <c:pt idx="49">
                  <c:v>-20.804982956060208</c:v>
                </c:pt>
                <c:pt idx="50">
                  <c:v>-21.878849183884427</c:v>
                </c:pt>
                <c:pt idx="51">
                  <c:v>-22.683602077604213</c:v>
                </c:pt>
                <c:pt idx="52">
                  <c:v>-23.299066549122731</c:v>
                </c:pt>
                <c:pt idx="53">
                  <c:v>-23.777837549527497</c:v>
                </c:pt>
                <c:pt idx="54">
                  <c:v>-24.155876363056173</c:v>
                </c:pt>
                <c:pt idx="55">
                  <c:v>-25.648150087214407</c:v>
                </c:pt>
              </c:numCache>
            </c:numRef>
          </c:yVal>
          <c:smooth val="1"/>
        </c:ser>
        <c:dLbls>
          <c:showLegendKey val="0"/>
          <c:showVal val="0"/>
          <c:showCatName val="0"/>
          <c:showSerName val="0"/>
          <c:showPercent val="0"/>
          <c:showBubbleSize val="0"/>
        </c:dLbls>
        <c:axId val="209017088"/>
        <c:axId val="209023360"/>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-3.5927995262591078E-2</c:v>
                </c:pt>
                <c:pt idx="1">
                  <c:v>-7.1855962100755386E-2</c:v>
                </c:pt>
                <c:pt idx="2">
                  <c:v>-0.10778387209020091</c:v>
                </c:pt>
                <c:pt idx="3">
                  <c:v>-0.14371169680690407</c:v>
                </c:pt>
                <c:pt idx="4">
                  <c:v>-0.1796394078272473</c:v>
                </c:pt>
                <c:pt idx="5">
                  <c:v>-0.21556697672814926</c:v>
                </c:pt>
                <c:pt idx="6">
                  <c:v>-0.25149437508720429</c:v>
                </c:pt>
                <c:pt idx="7">
                  <c:v>-0.28742157448281191</c:v>
                </c:pt>
                <c:pt idx="8">
                  <c:v>-0.32334854649431632</c:v>
                </c:pt>
                <c:pt idx="9">
                  <c:v>-0.35927526270213739</c:v>
                </c:pt>
                <c:pt idx="10">
                  <c:v>-0.71852210430988783</c:v>
                </c:pt>
                <c:pt idx="11">
                  <c:v>-1.0777121171893822</c:v>
                </c:pt>
                <c:pt idx="12">
                  <c:v>-1.4368169206118389</c:v>
                </c:pt>
                <c:pt idx="13">
                  <c:v>-1.7958081741663725</c:v>
                </c:pt>
                <c:pt idx="14">
                  <c:v>-2.1546575911250079</c:v>
                </c:pt>
                <c:pt idx="15">
                  <c:v>-2.5133369517444364</c:v>
                </c:pt>
                <c:pt idx="16">
                  <c:v>-2.8718181164887571</c:v>
                </c:pt>
                <c:pt idx="17">
                  <c:v>-3.2300730391578325</c:v>
                </c:pt>
                <c:pt idx="18">
                  <c:v>-3.5880737799060776</c:v>
                </c:pt>
                <c:pt idx="19">
                  <c:v>-7.1480558070290474</c:v>
                </c:pt>
                <c:pt idx="20">
                  <c:v>-10.65314941339204</c:v>
                </c:pt>
                <c:pt idx="21">
                  <c:v>-14.079002374015634</c:v>
                </c:pt>
                <c:pt idx="22">
                  <c:v>-17.404594495249242</c:v>
                </c:pt>
                <c:pt idx="23">
                  <c:v>-20.612797390525898</c:v>
                </c:pt>
                <c:pt idx="24">
                  <c:v>-23.69059614155573</c:v>
                </c:pt>
                <c:pt idx="25">
                  <c:v>-26.62901012161975</c:v>
                </c:pt>
                <c:pt idx="26">
                  <c:v>-29.422780985141472</c:v>
                </c:pt>
                <c:pt idx="27">
                  <c:v>-32.06990767324131</c:v>
                </c:pt>
                <c:pt idx="28">
                  <c:v>-51.344113049226607</c:v>
                </c:pt>
                <c:pt idx="29">
                  <c:v>-61.837313777793028</c:v>
                </c:pt>
                <c:pt idx="30">
                  <c:v>-68.015018453977163</c:v>
                </c:pt>
                <c:pt idx="31">
                  <c:v>-71.983217585885015</c:v>
                </c:pt>
                <c:pt idx="32">
                  <c:v>-74.711956905053668</c:v>
                </c:pt>
                <c:pt idx="33">
                  <c:v>-76.686763206803832</c:v>
                </c:pt>
                <c:pt idx="34">
                  <c:v>-78.172293678308534</c:v>
                </c:pt>
                <c:pt idx="35">
                  <c:v>-79.323587866635179</c:v>
                </c:pt>
                <c:pt idx="36">
                  <c:v>-80.236976816652714</c:v>
                </c:pt>
                <c:pt idx="37">
                  <c:v>-84.010437770269505</c:v>
                </c:pt>
                <c:pt idx="38">
                  <c:v>-84.804233755447868</c:v>
                </c:pt>
                <c:pt idx="39">
                  <c:v>-84.843897154908646</c:v>
                </c:pt>
                <c:pt idx="40">
                  <c:v>-84.581560499317689</c:v>
                </c:pt>
                <c:pt idx="41">
                  <c:v>-84.168696987480203</c:v>
                </c:pt>
                <c:pt idx="42">
                  <c:v>-83.670462905538884</c:v>
                </c:pt>
                <c:pt idx="43">
                  <c:v>-83.119574637300943</c:v>
                </c:pt>
                <c:pt idx="44">
                  <c:v>-82.534312216453941</c:v>
                </c:pt>
                <c:pt idx="45">
                  <c:v>-81.925730523660349</c:v>
                </c:pt>
                <c:pt idx="46">
                  <c:v>-75.436261926012094</c:v>
                </c:pt>
                <c:pt idx="47">
                  <c:v>-69.040041918346972</c:v>
                </c:pt>
                <c:pt idx="48">
                  <c:v>-63.085418437622742</c:v>
                </c:pt>
                <c:pt idx="49">
                  <c:v>-57.675714850056963</c:v>
                </c:pt>
                <c:pt idx="50">
                  <c:v>-52.832374007810564</c:v>
                </c:pt>
                <c:pt idx="51">
                  <c:v>-48.533387500074021</c:v>
                </c:pt>
                <c:pt idx="52">
                  <c:v>-44.734306686617479</c:v>
                </c:pt>
                <c:pt idx="53">
                  <c:v>-41.381604132725208</c:v>
                </c:pt>
                <c:pt idx="54">
                  <c:v>-38.420698265683242</c:v>
                </c:pt>
                <c:pt idx="55">
                  <c:v>-21.651389448525364</c:v>
                </c:pt>
              </c:numCache>
            </c:numRef>
          </c:yVal>
          <c:smooth val="1"/>
        </c:ser>
        <c:dLbls>
          <c:showLegendKey val="0"/>
          <c:showVal val="0"/>
          <c:showCatName val="0"/>
          <c:showSerName val="0"/>
          <c:showPercent val="0"/>
          <c:showBubbleSize val="0"/>
        </c:dLbls>
        <c:axId val="209031552"/>
        <c:axId val="209025280"/>
      </c:scatterChart>
      <c:valAx>
        <c:axId val="209017088"/>
        <c:scaling>
          <c:logBase val="10"/>
          <c:orientation val="minMax"/>
          <c:max val="10000000"/>
          <c:min val="1"/>
        </c:scaling>
        <c:delete val="0"/>
        <c:axPos val="b"/>
        <c:majorGridlines/>
        <c:minorGridlines/>
        <c:title>
          <c:tx>
            <c:rich>
              <a:bodyPr/>
              <a:lstStyle/>
              <a:p>
                <a:pPr>
                  <a:defRPr/>
                </a:pPr>
                <a:r>
                  <a:rPr lang="en-US"/>
                  <a:t>Frequency (Hz)</a:t>
                </a:r>
              </a:p>
            </c:rich>
          </c:tx>
          <c:layout/>
          <c:overlay val="0"/>
        </c:title>
        <c:numFmt formatCode="0.E+00" sourceLinked="0"/>
        <c:majorTickMark val="out"/>
        <c:minorTickMark val="none"/>
        <c:tickLblPos val="low"/>
        <c:crossAx val="209023360"/>
        <c:crosses val="autoZero"/>
        <c:crossBetween val="midCat"/>
      </c:valAx>
      <c:valAx>
        <c:axId val="209023360"/>
        <c:scaling>
          <c:orientation val="minMax"/>
        </c:scaling>
        <c:delete val="0"/>
        <c:axPos val="l"/>
        <c:majorGridlines/>
        <c:title>
          <c:tx>
            <c:rich>
              <a:bodyPr rot="-5400000" vert="horz"/>
              <a:lstStyle/>
              <a:p>
                <a:pPr>
                  <a:defRPr/>
                </a:pPr>
                <a:r>
                  <a:rPr lang="en-US"/>
                  <a:t>Gain</a:t>
                </a:r>
                <a:r>
                  <a:rPr lang="en-US" baseline="0"/>
                  <a:t> (dB)</a:t>
                </a:r>
                <a:endParaRPr lang="en-US"/>
              </a:p>
            </c:rich>
          </c:tx>
          <c:layout/>
          <c:overlay val="0"/>
        </c:title>
        <c:numFmt formatCode="General" sourceLinked="0"/>
        <c:majorTickMark val="out"/>
        <c:minorTickMark val="none"/>
        <c:tickLblPos val="nextTo"/>
        <c:crossAx val="209017088"/>
        <c:crosses val="autoZero"/>
        <c:crossBetween val="midCat"/>
        <c:majorUnit val="20"/>
      </c:valAx>
      <c:valAx>
        <c:axId val="209025280"/>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209031552"/>
        <c:crosses val="max"/>
        <c:crossBetween val="midCat"/>
      </c:valAx>
      <c:valAx>
        <c:axId val="209031552"/>
        <c:scaling>
          <c:logBase val="10"/>
          <c:orientation val="minMax"/>
        </c:scaling>
        <c:delete val="1"/>
        <c:axPos val="b"/>
        <c:majorGridlines/>
        <c:minorGridlines/>
        <c:numFmt formatCode="##0.000E+0" sourceLinked="1"/>
        <c:majorTickMark val="out"/>
        <c:minorTickMark val="none"/>
        <c:tickLblPos val="nextTo"/>
        <c:crossAx val="20902528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30.126778976952416</c:v>
                </c:pt>
                <c:pt idx="1">
                  <c:v>24.106208685293993</c:v>
                </c:pt>
                <c:pt idx="2">
                  <c:v>20.584432873099971</c:v>
                </c:pt>
                <c:pt idx="3">
                  <c:v>18.085727256478265</c:v>
                </c:pt>
                <c:pt idx="4">
                  <c:v>16.14761585754297</c:v>
                </c:pt>
                <c:pt idx="5">
                  <c:v>14.564099542285401</c:v>
                </c:pt>
                <c:pt idx="6">
                  <c:v>13.225292098355492</c:v>
                </c:pt>
                <c:pt idx="7">
                  <c:v>12.065601248720307</c:v>
                </c:pt>
                <c:pt idx="8">
                  <c:v>11.042718628907238</c:v>
                </c:pt>
                <c:pt idx="9">
                  <c:v>10.127756383754969</c:v>
                </c:pt>
                <c:pt idx="10">
                  <c:v>4.1101169662488681</c:v>
                </c:pt>
                <c:pt idx="11">
                  <c:v>0.59322146290412925</c:v>
                </c:pt>
                <c:pt idx="12">
                  <c:v>-1.8986611109398919</c:v>
                </c:pt>
                <c:pt idx="13">
                  <c:v>-3.8280160717769265</c:v>
                </c:pt>
                <c:pt idx="14">
                  <c:v>-5.4008544880779938</c:v>
                </c:pt>
                <c:pt idx="15">
                  <c:v>-6.7270770492113909</c:v>
                </c:pt>
                <c:pt idx="16">
                  <c:v>-7.8722929876668299</c:v>
                </c:pt>
                <c:pt idx="17">
                  <c:v>-8.8788300274675986</c:v>
                </c:pt>
                <c:pt idx="18">
                  <c:v>-9.7755977035209689</c:v>
                </c:pt>
                <c:pt idx="19">
                  <c:v>-15.515818975219577</c:v>
                </c:pt>
                <c:pt idx="20">
                  <c:v>-18.60718161959376</c:v>
                </c:pt>
                <c:pt idx="21">
                  <c:v>-20.567096740981128</c:v>
                </c:pt>
                <c:pt idx="22">
                  <c:v>-21.898250411314546</c:v>
                </c:pt>
                <c:pt idx="23">
                  <c:v>-22.839451693720992</c:v>
                </c:pt>
                <c:pt idx="24">
                  <c:v>-23.524503341518216</c:v>
                </c:pt>
                <c:pt idx="25">
                  <c:v>-24.035040693139663</c:v>
                </c:pt>
                <c:pt idx="26">
                  <c:v>-24.423394012513096</c:v>
                </c:pt>
                <c:pt idx="27">
                  <c:v>-24.724240284993545</c:v>
                </c:pt>
                <c:pt idx="28">
                  <c:v>-25.859363079688322</c:v>
                </c:pt>
                <c:pt idx="29">
                  <c:v>-26.113848445276012</c:v>
                </c:pt>
                <c:pt idx="30">
                  <c:v>-26.215392522366898</c:v>
                </c:pt>
                <c:pt idx="31">
                  <c:v>-26.272943445091464</c:v>
                </c:pt>
                <c:pt idx="32">
                  <c:v>-26.31484444527085</c:v>
                </c:pt>
                <c:pt idx="33">
                  <c:v>-26.351003796107801</c:v>
                </c:pt>
                <c:pt idx="34">
                  <c:v>-26.385578802061197</c:v>
                </c:pt>
                <c:pt idx="35">
                  <c:v>-26.420536733856107</c:v>
                </c:pt>
                <c:pt idx="36">
                  <c:v>-26.456884918858631</c:v>
                </c:pt>
                <c:pt idx="37">
                  <c:v>-26.945932258911913</c:v>
                </c:pt>
                <c:pt idx="38">
                  <c:v>-27.640049645267268</c:v>
                </c:pt>
                <c:pt idx="39">
                  <c:v>-28.454678290905633</c:v>
                </c:pt>
                <c:pt idx="40">
                  <c:v>-29.317538642212313</c:v>
                </c:pt>
                <c:pt idx="41">
                  <c:v>-30.181837923635598</c:v>
                </c:pt>
                <c:pt idx="42">
                  <c:v>-31.02137084543098</c:v>
                </c:pt>
                <c:pt idx="43">
                  <c:v>-31.823340288049224</c:v>
                </c:pt>
                <c:pt idx="44">
                  <c:v>-32.582795070298161</c:v>
                </c:pt>
                <c:pt idx="45">
                  <c:v>-33.29906720206813</c:v>
                </c:pt>
                <c:pt idx="46">
                  <c:v>-38.614731451900639</c:v>
                </c:pt>
                <c:pt idx="47">
                  <c:v>-41.992450817083871</c:v>
                </c:pt>
                <c:pt idx="48">
                  <c:v>-44.439636772078053</c:v>
                </c:pt>
                <c:pt idx="49">
                  <c:v>-46.353749663219816</c:v>
                </c:pt>
                <c:pt idx="50">
                  <c:v>-47.924233854452474</c:v>
                </c:pt>
                <c:pt idx="51">
                  <c:v>-49.25522693662991</c:v>
                </c:pt>
                <c:pt idx="52">
                  <c:v>-50.409902964315947</c:v>
                </c:pt>
                <c:pt idx="53">
                  <c:v>-51.429410186811843</c:v>
                </c:pt>
                <c:pt idx="54">
                  <c:v>-52.342023773786089</c:v>
                </c:pt>
                <c:pt idx="55">
                  <c:v>-58.354504487199023</c:v>
                </c:pt>
              </c:numCache>
            </c:numRef>
          </c:yVal>
          <c:smooth val="1"/>
        </c:ser>
        <c:dLbls>
          <c:showLegendKey val="0"/>
          <c:showVal val="0"/>
          <c:showCatName val="0"/>
          <c:showSerName val="0"/>
          <c:showPercent val="0"/>
          <c:showBubbleSize val="0"/>
        </c:dLbls>
        <c:axId val="209058048"/>
        <c:axId val="193601920"/>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90.085253334510284</c:v>
                </c:pt>
                <c:pt idx="1">
                  <c:v>90.17050627608441</c:v>
                </c:pt>
                <c:pt idx="2">
                  <c:v>90.255758431796991</c:v>
                </c:pt>
                <c:pt idx="3">
                  <c:v>90.341009408744014</c:v>
                </c:pt>
                <c:pt idx="4">
                  <c:v>90.426258814053668</c:v>
                </c:pt>
                <c:pt idx="5">
                  <c:v>90.511506254897029</c:v>
                </c:pt>
                <c:pt idx="6">
                  <c:v>90.596751338498734</c:v>
                </c:pt>
                <c:pt idx="7">
                  <c:v>90.681993672147797</c:v>
                </c:pt>
                <c:pt idx="8">
                  <c:v>90.767232863208136</c:v>
                </c:pt>
                <c:pt idx="9">
                  <c:v>90.852468519129502</c:v>
                </c:pt>
                <c:pt idx="10">
                  <c:v>91.704544367308671</c:v>
                </c:pt>
                <c:pt idx="11">
                  <c:v>92.555835943387123</c:v>
                </c:pt>
                <c:pt idx="12">
                  <c:v>93.405953778538375</c:v>
                </c:pt>
                <c:pt idx="13">
                  <c:v>94.254511584324021</c:v>
                </c:pt>
                <c:pt idx="14">
                  <c:v>95.101127279296946</c:v>
                </c:pt>
                <c:pt idx="15">
                  <c:v>95.945423987411345</c:v>
                </c:pt>
                <c:pt idx="16">
                  <c:v>96.787031001858168</c:v>
                </c:pt>
                <c:pt idx="17">
                  <c:v>97.625584708368351</c:v>
                </c:pt>
                <c:pt idx="18">
                  <c:v>98.460729462518259</c:v>
                </c:pt>
                <c:pt idx="19">
                  <c:v>106.55361911592054</c:v>
                </c:pt>
                <c:pt idx="20">
                  <c:v>113.99751310265469</c:v>
                </c:pt>
                <c:pt idx="21">
                  <c:v>120.63915263025834</c:v>
                </c:pt>
                <c:pt idx="22">
                  <c:v>126.44236370486698</c:v>
                </c:pt>
                <c:pt idx="23">
                  <c:v>131.4501964743877</c:v>
                </c:pt>
                <c:pt idx="24">
                  <c:v>135.74612070858473</c:v>
                </c:pt>
                <c:pt idx="25">
                  <c:v>139.4263761911084</c:v>
                </c:pt>
                <c:pt idx="26">
                  <c:v>142.58432718880744</c:v>
                </c:pt>
                <c:pt idx="27">
                  <c:v>145.30338043508203</c:v>
                </c:pt>
                <c:pt idx="28">
                  <c:v>159.36390651499292</c:v>
                </c:pt>
                <c:pt idx="29">
                  <c:v>164.09961487765287</c:v>
                </c:pt>
                <c:pt idx="30">
                  <c:v>166.01011580103113</c:v>
                </c:pt>
                <c:pt idx="31">
                  <c:v>166.73102271629858</c:v>
                </c:pt>
                <c:pt idx="32">
                  <c:v>166.84620254698339</c:v>
                </c:pt>
                <c:pt idx="33">
                  <c:v>166.61392150442731</c:v>
                </c:pt>
                <c:pt idx="34">
                  <c:v>166.16578766280449</c:v>
                </c:pt>
                <c:pt idx="35">
                  <c:v>165.57595936238394</c:v>
                </c:pt>
                <c:pt idx="36">
                  <c:v>164.88949742962708</c:v>
                </c:pt>
                <c:pt idx="37">
                  <c:v>156.28771487223602</c:v>
                </c:pt>
                <c:pt idx="38">
                  <c:v>147.75484000852722</c:v>
                </c:pt>
                <c:pt idx="39">
                  <c:v>140.37370363058</c:v>
                </c:pt>
                <c:pt idx="40">
                  <c:v>134.22303054035228</c:v>
                </c:pt>
                <c:pt idx="41">
                  <c:v>129.15551566093799</c:v>
                </c:pt>
                <c:pt idx="42">
                  <c:v>124.97872300742894</c:v>
                </c:pt>
                <c:pt idx="43">
                  <c:v>121.51507764651127</c:v>
                </c:pt>
                <c:pt idx="44">
                  <c:v>118.61791920286579</c:v>
                </c:pt>
                <c:pt idx="45">
                  <c:v>116.17142065062431</c:v>
                </c:pt>
                <c:pt idx="46">
                  <c:v>103.83821958921475</c:v>
                </c:pt>
                <c:pt idx="47">
                  <c:v>99.330124889530722</c:v>
                </c:pt>
                <c:pt idx="48">
                  <c:v>97.025818549390308</c:v>
                </c:pt>
                <c:pt idx="49">
                  <c:v>95.631216129704711</c:v>
                </c:pt>
                <c:pt idx="50">
                  <c:v>94.697485615244602</c:v>
                </c:pt>
                <c:pt idx="51">
                  <c:v>94.028907122169215</c:v>
                </c:pt>
                <c:pt idx="52">
                  <c:v>93.526710889447841</c:v>
                </c:pt>
                <c:pt idx="53">
                  <c:v>93.135718806973642</c:v>
                </c:pt>
                <c:pt idx="54">
                  <c:v>92.822704046594467</c:v>
                </c:pt>
                <c:pt idx="55">
                  <c:v>91.412243995136976</c:v>
                </c:pt>
              </c:numCache>
            </c:numRef>
          </c:yVal>
          <c:smooth val="1"/>
        </c:ser>
        <c:dLbls>
          <c:showLegendKey val="0"/>
          <c:showVal val="0"/>
          <c:showCatName val="0"/>
          <c:showSerName val="0"/>
          <c:showPercent val="0"/>
          <c:showBubbleSize val="0"/>
        </c:dLbls>
        <c:axId val="193614208"/>
        <c:axId val="193603840"/>
      </c:scatterChart>
      <c:valAx>
        <c:axId val="209058048"/>
        <c:scaling>
          <c:logBase val="10"/>
          <c:orientation val="minMax"/>
        </c:scaling>
        <c:delete val="0"/>
        <c:axPos val="b"/>
        <c:majorGridlines/>
        <c:title>
          <c:tx>
            <c:rich>
              <a:bodyPr/>
              <a:lstStyle/>
              <a:p>
                <a:pPr>
                  <a:defRPr/>
                </a:pPr>
                <a:r>
                  <a:rPr lang="en-US"/>
                  <a:t>Frequency (Hz)</a:t>
                </a:r>
              </a:p>
            </c:rich>
          </c:tx>
          <c:layout/>
          <c:overlay val="0"/>
        </c:title>
        <c:numFmt formatCode="General" sourceLinked="0"/>
        <c:majorTickMark val="out"/>
        <c:minorTickMark val="none"/>
        <c:tickLblPos val="low"/>
        <c:crossAx val="193601920"/>
        <c:crosses val="autoZero"/>
        <c:crossBetween val="midCat"/>
      </c:valAx>
      <c:valAx>
        <c:axId val="193601920"/>
        <c:scaling>
          <c:orientation val="minMax"/>
        </c:scaling>
        <c:delete val="0"/>
        <c:axPos val="l"/>
        <c:majorGridlines/>
        <c:title>
          <c:tx>
            <c:rich>
              <a:bodyPr rot="-5400000" vert="horz"/>
              <a:lstStyle/>
              <a:p>
                <a:pPr>
                  <a:defRPr/>
                </a:pPr>
                <a:r>
                  <a:rPr lang="en-US"/>
                  <a:t>Gain</a:t>
                </a:r>
                <a:r>
                  <a:rPr lang="en-US" baseline="0"/>
                  <a:t> (dB)</a:t>
                </a:r>
                <a:endParaRPr lang="en-US"/>
              </a:p>
            </c:rich>
          </c:tx>
          <c:layout/>
          <c:overlay val="0"/>
        </c:title>
        <c:numFmt formatCode="General" sourceLinked="0"/>
        <c:majorTickMark val="out"/>
        <c:minorTickMark val="none"/>
        <c:tickLblPos val="nextTo"/>
        <c:crossAx val="209058048"/>
        <c:crosses val="autoZero"/>
        <c:crossBetween val="midCat"/>
        <c:majorUnit val="20"/>
      </c:valAx>
      <c:valAx>
        <c:axId val="193603840"/>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193614208"/>
        <c:crosses val="max"/>
        <c:crossBetween val="midCat"/>
      </c:valAx>
      <c:valAx>
        <c:axId val="193614208"/>
        <c:scaling>
          <c:logBase val="10"/>
          <c:orientation val="minMax"/>
        </c:scaling>
        <c:delete val="1"/>
        <c:axPos val="b"/>
        <c:majorGridlines/>
        <c:minorGridlines/>
        <c:numFmt formatCode="##0.000E+0" sourceLinked="1"/>
        <c:majorTickMark val="out"/>
        <c:minorTickMark val="none"/>
        <c:tickLblPos val="nextTo"/>
        <c:crossAx val="19360384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 Isolated</a:t>
            </a:r>
            <a:r>
              <a:rPr lang="en-US" baseline="0"/>
              <a:t> Compensation</a:t>
            </a:r>
            <a:endParaRPr lang="en-US"/>
          </a:p>
        </c:rich>
      </c:tx>
      <c:layout/>
      <c:overlay val="0"/>
    </c:title>
    <c:autoTitleDeleted val="0"/>
    <c:plotArea>
      <c:layout>
        <c:manualLayout>
          <c:layoutTarget val="inner"/>
          <c:xMode val="edge"/>
          <c:yMode val="edge"/>
          <c:x val="0.1274626088405616"/>
          <c:y val="0.1510505249343832"/>
          <c:w val="0.74697891930175397"/>
          <c:h val="0.68833595800524938"/>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32.3087514384356</c:v>
                </c:pt>
                <c:pt idx="1">
                  <c:v>26.288181076744742</c:v>
                </c:pt>
                <c:pt idx="2">
                  <c:v>22.766405147832039</c:v>
                </c:pt>
                <c:pt idx="3">
                  <c:v>20.267699367808572</c:v>
                </c:pt>
                <c:pt idx="4">
                  <c:v>18.329587758792762</c:v>
                </c:pt>
                <c:pt idx="5">
                  <c:v>16.746071186781503</c:v>
                </c:pt>
                <c:pt idx="6">
                  <c:v>15.407263439431455</c:v>
                </c:pt>
                <c:pt idx="7">
                  <c:v>14.247572239717922</c:v>
                </c:pt>
                <c:pt idx="8">
                  <c:v>13.224689223177474</c:v>
                </c:pt>
                <c:pt idx="9">
                  <c:v>12.30972653465945</c:v>
                </c:pt>
                <c:pt idx="10">
                  <c:v>6.2920801215869702</c:v>
                </c:pt>
                <c:pt idx="11">
                  <c:v>2.7751729795986253</c:v>
                </c:pt>
                <c:pt idx="12">
                  <c:v>0.28327415483735802</c:v>
                </c:pt>
                <c:pt idx="13">
                  <c:v>-1.6461016263580122</c:v>
                </c:pt>
                <c:pt idx="14">
                  <c:v>-3.2189653778846234</c:v>
                </c:pt>
                <c:pt idx="15">
                  <c:v>-4.5452177231595234</c:v>
                </c:pt>
                <c:pt idx="16">
                  <c:v>-5.6904678177789396</c:v>
                </c:pt>
                <c:pt idx="17">
                  <c:v>-6.6970432984325594</c:v>
                </c:pt>
                <c:pt idx="18">
                  <c:v>-7.593853602815253</c:v>
                </c:pt>
                <c:pt idx="19">
                  <c:v>-13.334704364891817</c:v>
                </c:pt>
                <c:pt idx="20">
                  <c:v>-16.426962110515479</c:v>
                </c:pt>
                <c:pt idx="21">
                  <c:v>-18.387887708973505</c:v>
                </c:pt>
                <c:pt idx="22">
                  <c:v>-19.720051124529363</c:v>
                </c:pt>
                <c:pt idx="23">
                  <c:v>-20.662193530622623</c:v>
                </c:pt>
                <c:pt idx="24">
                  <c:v>-21.348089279135792</c:v>
                </c:pt>
                <c:pt idx="25">
                  <c:v>-21.859369947840548</c:v>
                </c:pt>
                <c:pt idx="26">
                  <c:v>-22.248374470942668</c:v>
                </c:pt>
                <c:pt idx="27">
                  <c:v>-22.549793256826764</c:v>
                </c:pt>
                <c:pt idx="28">
                  <c:v>-23.688667484746286</c:v>
                </c:pt>
                <c:pt idx="29">
                  <c:v>-23.946468861264016</c:v>
                </c:pt>
                <c:pt idx="30">
                  <c:v>-24.052095416453806</c:v>
                </c:pt>
                <c:pt idx="31">
                  <c:v>-24.114697453557451</c:v>
                </c:pt>
                <c:pt idx="32">
                  <c:v>-24.162652885511395</c:v>
                </c:pt>
                <c:pt idx="33">
                  <c:v>-24.205860023327382</c:v>
                </c:pt>
                <c:pt idx="34">
                  <c:v>-24.248448783791765</c:v>
                </c:pt>
                <c:pt idx="35">
                  <c:v>-24.292349856805245</c:v>
                </c:pt>
                <c:pt idx="36">
                  <c:v>-24.338528033902307</c:v>
                </c:pt>
                <c:pt idx="37">
                  <c:v>-24.963286381370718</c:v>
                </c:pt>
                <c:pt idx="38">
                  <c:v>-25.824363111801169</c:v>
                </c:pt>
                <c:pt idx="39">
                  <c:v>-26.798178709561881</c:v>
                </c:pt>
                <c:pt idx="40">
                  <c:v>-27.795550234546482</c:v>
                </c:pt>
                <c:pt idx="41">
                  <c:v>-28.76728967544361</c:v>
                </c:pt>
                <c:pt idx="42">
                  <c:v>-29.690731476031527</c:v>
                </c:pt>
                <c:pt idx="43">
                  <c:v>-30.557920021474988</c:v>
                </c:pt>
                <c:pt idx="44">
                  <c:v>-31.368284494418425</c:v>
                </c:pt>
                <c:pt idx="45">
                  <c:v>-32.124642766446307</c:v>
                </c:pt>
                <c:pt idx="46">
                  <c:v>-37.594635068199068</c:v>
                </c:pt>
                <c:pt idx="47">
                  <c:v>-41.006362117887278</c:v>
                </c:pt>
                <c:pt idx="48">
                  <c:v>-43.465933170799289</c:v>
                </c:pt>
                <c:pt idx="49">
                  <c:v>-45.385867163578801</c:v>
                </c:pt>
                <c:pt idx="50">
                  <c:v>-46.959537356309625</c:v>
                </c:pt>
                <c:pt idx="51">
                  <c:v>-48.292459710789686</c:v>
                </c:pt>
                <c:pt idx="52">
                  <c:v>-49.448391235013027</c:v>
                </c:pt>
                <c:pt idx="53">
                  <c:v>-50.468760739113634</c:v>
                </c:pt>
                <c:pt idx="54">
                  <c:v>-51.381991869987182</c:v>
                </c:pt>
                <c:pt idx="55">
                  <c:v>-57.39645135845457</c:v>
                </c:pt>
              </c:numCache>
            </c:numRef>
          </c:yVal>
          <c:smooth val="1"/>
        </c:ser>
        <c:dLbls>
          <c:showLegendKey val="0"/>
          <c:showVal val="0"/>
          <c:showCatName val="0"/>
          <c:showSerName val="0"/>
          <c:showPercent val="0"/>
          <c:showBubbleSize val="0"/>
        </c:dLbls>
        <c:axId val="205289344"/>
        <c:axId val="205307904"/>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90.084981534736855</c:v>
                </c:pt>
                <c:pt idx="1">
                  <c:v>90.169962677897018</c:v>
                </c:pt>
                <c:pt idx="2">
                  <c:v>90.254943037914444</c:v>
                </c:pt>
                <c:pt idx="3">
                  <c:v>90.339922223244415</c:v>
                </c:pt>
                <c:pt idx="4">
                  <c:v>90.424899842374202</c:v>
                </c:pt>
                <c:pt idx="5">
                  <c:v>90.509875503833683</c:v>
                </c:pt>
                <c:pt idx="6">
                  <c:v>90.594848816206053</c:v>
                </c:pt>
                <c:pt idx="7">
                  <c:v>90.679819388138426</c:v>
                </c:pt>
                <c:pt idx="8">
                  <c:v>90.764786828352499</c:v>
                </c:pt>
                <c:pt idx="9">
                  <c:v>90.8497507456552</c:v>
                </c:pt>
                <c:pt idx="10">
                  <c:v>91.699110178280989</c:v>
                </c:pt>
                <c:pt idx="11">
                  <c:v>92.547688048494095</c:v>
                </c:pt>
                <c:pt idx="12">
                  <c:v>93.395096226985942</c:v>
                </c:pt>
                <c:pt idx="13">
                  <c:v>94.240949746607569</c:v>
                </c:pt>
                <c:pt idx="14">
                  <c:v>95.084867823165226</c:v>
                </c:pt>
                <c:pt idx="15">
                  <c:v>95.926474848247423</c:v>
                </c:pt>
                <c:pt idx="16">
                  <c:v>96.765401347751123</c:v>
                </c:pt>
                <c:pt idx="17">
                  <c:v>97.601284900195168</c:v>
                </c:pt>
                <c:pt idx="18">
                  <c:v>98.433771009394277</c:v>
                </c:pt>
                <c:pt idx="19">
                  <c:v>106.50092081958812</c:v>
                </c:pt>
                <c:pt idx="20">
                  <c:v>113.92105274467629</c:v>
                </c:pt>
                <c:pt idx="21">
                  <c:v>120.54106974954041</c:v>
                </c:pt>
                <c:pt idx="22">
                  <c:v>126.32453182396308</c:v>
                </c:pt>
                <c:pt idx="23">
                  <c:v>131.31404901478624</c:v>
                </c:pt>
                <c:pt idx="24">
                  <c:v>135.59265583666348</c:v>
                </c:pt>
                <c:pt idx="25">
                  <c:v>139.25623986781264</c:v>
                </c:pt>
                <c:pt idx="26">
                  <c:v>142.39790945973417</c:v>
                </c:pt>
                <c:pt idx="27">
                  <c:v>145.10089718209025</c:v>
                </c:pt>
                <c:pt idx="28">
                  <c:v>159.00060826136078</c:v>
                </c:pt>
                <c:pt idx="29">
                  <c:v>163.5715677116041</c:v>
                </c:pt>
                <c:pt idx="30">
                  <c:v>165.31618151699001</c:v>
                </c:pt>
                <c:pt idx="31">
                  <c:v>165.87185073178409</c:v>
                </c:pt>
                <c:pt idx="32">
                  <c:v>165.82344026166399</c:v>
                </c:pt>
                <c:pt idx="33">
                  <c:v>165.42989642016371</c:v>
                </c:pt>
                <c:pt idx="34">
                  <c:v>164.82335746641161</c:v>
                </c:pt>
                <c:pt idx="35">
                  <c:v>164.07842552566575</c:v>
                </c:pt>
                <c:pt idx="36">
                  <c:v>163.24054519840053</c:v>
                </c:pt>
                <c:pt idx="37">
                  <c:v>153.38182433539185</c:v>
                </c:pt>
                <c:pt idx="38">
                  <c:v>144.10873151669952</c:v>
                </c:pt>
                <c:pt idx="39">
                  <c:v>136.4160527735051</c:v>
                </c:pt>
                <c:pt idx="40">
                  <c:v>130.22946976096065</c:v>
                </c:pt>
                <c:pt idx="41">
                  <c:v>125.27642826311893</c:v>
                </c:pt>
                <c:pt idx="42">
                  <c:v>121.28467410687101</c:v>
                </c:pt>
                <c:pt idx="43">
                  <c:v>118.03164678335909</c:v>
                </c:pt>
                <c:pt idx="44">
                  <c:v>115.34722678282743</c:v>
                </c:pt>
                <c:pt idx="45">
                  <c:v>113.1042416913407</c:v>
                </c:pt>
                <c:pt idx="46">
                  <c:v>102.06666691091982</c:v>
                </c:pt>
                <c:pt idx="47">
                  <c:v>98.114113816305533</c:v>
                </c:pt>
                <c:pt idx="48">
                  <c:v>96.104255763596015</c:v>
                </c:pt>
                <c:pt idx="49">
                  <c:v>94.890373176201621</c:v>
                </c:pt>
                <c:pt idx="50">
                  <c:v>94.078477808034805</c:v>
                </c:pt>
                <c:pt idx="51">
                  <c:v>93.497478450099067</c:v>
                </c:pt>
                <c:pt idx="52">
                  <c:v>93.061226479150591</c:v>
                </c:pt>
                <c:pt idx="53">
                  <c:v>92.721659209434549</c:v>
                </c:pt>
                <c:pt idx="54">
                  <c:v>92.449859827244381</c:v>
                </c:pt>
                <c:pt idx="55">
                  <c:v>91.225516546307688</c:v>
                </c:pt>
              </c:numCache>
            </c:numRef>
          </c:yVal>
          <c:smooth val="1"/>
        </c:ser>
        <c:dLbls>
          <c:showLegendKey val="0"/>
          <c:showVal val="0"/>
          <c:showCatName val="0"/>
          <c:showSerName val="0"/>
          <c:showPercent val="0"/>
          <c:showBubbleSize val="0"/>
        </c:dLbls>
        <c:axId val="204800000"/>
        <c:axId val="205309824"/>
      </c:scatterChart>
      <c:valAx>
        <c:axId val="205289344"/>
        <c:scaling>
          <c:logBase val="10"/>
          <c:orientation val="minMax"/>
        </c:scaling>
        <c:delete val="0"/>
        <c:axPos val="b"/>
        <c:majorGridlines/>
        <c:title>
          <c:tx>
            <c:rich>
              <a:bodyPr/>
              <a:lstStyle/>
              <a:p>
                <a:pPr>
                  <a:defRPr/>
                </a:pPr>
                <a:r>
                  <a:rPr lang="en-US"/>
                  <a:t>Frequency (Hz)</a:t>
                </a:r>
              </a:p>
            </c:rich>
          </c:tx>
          <c:layout/>
          <c:overlay val="0"/>
        </c:title>
        <c:numFmt formatCode="General" sourceLinked="0"/>
        <c:majorTickMark val="out"/>
        <c:minorTickMark val="none"/>
        <c:tickLblPos val="low"/>
        <c:crossAx val="205307904"/>
        <c:crosses val="autoZero"/>
        <c:crossBetween val="midCat"/>
      </c:valAx>
      <c:valAx>
        <c:axId val="205307904"/>
        <c:scaling>
          <c:orientation val="minMax"/>
        </c:scaling>
        <c:delete val="0"/>
        <c:axPos val="l"/>
        <c:majorGridlines/>
        <c:title>
          <c:tx>
            <c:rich>
              <a:bodyPr rot="-5400000" vert="horz"/>
              <a:lstStyle/>
              <a:p>
                <a:pPr>
                  <a:defRPr/>
                </a:pPr>
                <a:r>
                  <a:rPr lang="en-US"/>
                  <a:t>Gain</a:t>
                </a:r>
                <a:r>
                  <a:rPr lang="en-US" baseline="0"/>
                  <a:t> (dB)</a:t>
                </a:r>
                <a:endParaRPr lang="en-US"/>
              </a:p>
            </c:rich>
          </c:tx>
          <c:layout/>
          <c:overlay val="0"/>
        </c:title>
        <c:numFmt formatCode="General" sourceLinked="0"/>
        <c:majorTickMark val="out"/>
        <c:minorTickMark val="none"/>
        <c:tickLblPos val="nextTo"/>
        <c:crossAx val="205289344"/>
        <c:crosses val="autoZero"/>
        <c:crossBetween val="midCat"/>
        <c:majorUnit val="20"/>
      </c:valAx>
      <c:valAx>
        <c:axId val="205309824"/>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204800000"/>
        <c:crosses val="max"/>
        <c:crossBetween val="midCat"/>
      </c:valAx>
      <c:valAx>
        <c:axId val="204800000"/>
        <c:scaling>
          <c:logBase val="10"/>
          <c:orientation val="minMax"/>
        </c:scaling>
        <c:delete val="1"/>
        <c:axPos val="b"/>
        <c:majorGridlines/>
        <c:minorGridlines/>
        <c:numFmt formatCode="##0.000E+0" sourceLinked="1"/>
        <c:majorTickMark val="out"/>
        <c:minorTickMark val="none"/>
        <c:tickLblPos val="nextTo"/>
        <c:crossAx val="20530982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57.819765647058929</c:v>
                </c:pt>
                <c:pt idx="1">
                  <c:v>51.799190211848483</c:v>
                </c:pt>
                <c:pt idx="2">
                  <c:v>48.277405827081296</c:v>
                </c:pt>
                <c:pt idx="3">
                  <c:v>45.778688208885569</c:v>
                </c:pt>
                <c:pt idx="4">
                  <c:v>43.840561379403852</c:v>
                </c:pt>
                <c:pt idx="5">
                  <c:v>42.257026204664001</c:v>
                </c:pt>
                <c:pt idx="6">
                  <c:v>40.918196472360606</c:v>
                </c:pt>
                <c:pt idx="7">
                  <c:v>39.758479905513546</c:v>
                </c:pt>
                <c:pt idx="8">
                  <c:v>38.73556813971112</c:v>
                </c:pt>
                <c:pt idx="9">
                  <c:v>37.82057331986104</c:v>
                </c:pt>
                <c:pt idx="10">
                  <c:v>31.802419597404239</c:v>
                </c:pt>
                <c:pt idx="11">
                  <c:v>28.284667054465348</c:v>
                </c:pt>
                <c:pt idx="12">
                  <c:v>25.791584909257086</c:v>
                </c:pt>
                <c:pt idx="13">
                  <c:v>23.860688129084398</c:v>
                </c:pt>
                <c:pt idx="14">
                  <c:v>22.285966009976551</c:v>
                </c:pt>
                <c:pt idx="15">
                  <c:v>20.95751830748036</c:v>
                </c:pt>
                <c:pt idx="16">
                  <c:v>19.809736314086273</c:v>
                </c:pt>
                <c:pt idx="17">
                  <c:v>18.800292910404409</c:v>
                </c:pt>
                <c:pt idx="18">
                  <c:v>17.900279245340688</c:v>
                </c:pt>
                <c:pt idx="19">
                  <c:v>12.109124508255302</c:v>
                </c:pt>
                <c:pt idx="20">
                  <c:v>8.9341781150625721</c:v>
                </c:pt>
                <c:pt idx="21">
                  <c:v>6.8598841190437554</c:v>
                </c:pt>
                <c:pt idx="22">
                  <c:v>5.3859640799526929</c:v>
                </c:pt>
                <c:pt idx="23">
                  <c:v>4.2764130345828413</c:v>
                </c:pt>
                <c:pt idx="24">
                  <c:v>3.400467053321055</c:v>
                </c:pt>
                <c:pt idx="25">
                  <c:v>2.6796134908534128</c:v>
                </c:pt>
                <c:pt idx="26">
                  <c:v>2.064600352036841</c:v>
                </c:pt>
                <c:pt idx="27">
                  <c:v>1.5236848415245312</c:v>
                </c:pt>
                <c:pt idx="28">
                  <c:v>-2.2810908830102044</c:v>
                </c:pt>
                <c:pt idx="29">
                  <c:v>-5.0038297685961588</c:v>
                </c:pt>
                <c:pt idx="30">
                  <c:v>-7.165355968274195</c:v>
                </c:pt>
                <c:pt idx="31">
                  <c:v>-8.9419209936602684</c:v>
                </c:pt>
                <c:pt idx="32">
                  <c:v>-10.443538102978902</c:v>
                </c:pt>
                <c:pt idx="33">
                  <c:v>-11.742133495399688</c:v>
                </c:pt>
                <c:pt idx="34">
                  <c:v>-12.886121883727222</c:v>
                </c:pt>
                <c:pt idx="35">
                  <c:v>-13.909172573153489</c:v>
                </c:pt>
                <c:pt idx="36">
                  <c:v>-14.835446043825883</c:v>
                </c:pt>
                <c:pt idx="37">
                  <c:v>-21.261814085275592</c:v>
                </c:pt>
                <c:pt idx="38">
                  <c:v>-25.459121762007399</c:v>
                </c:pt>
                <c:pt idx="39">
                  <c:v>-28.762398041356775</c:v>
                </c:pt>
                <c:pt idx="40">
                  <c:v>-31.554834302495681</c:v>
                </c:pt>
                <c:pt idx="41">
                  <c:v>-33.993907359182479</c:v>
                </c:pt>
                <c:pt idx="42">
                  <c:v>-36.162709749429233</c:v>
                </c:pt>
                <c:pt idx="43">
                  <c:v>-38.113795996593588</c:v>
                </c:pt>
                <c:pt idx="44">
                  <c:v>-39.884413788360447</c:v>
                </c:pt>
                <c:pt idx="45">
                  <c:v>-41.502730950601325</c:v>
                </c:pt>
                <c:pt idx="46">
                  <c:v>-52.640206737306528</c:v>
                </c:pt>
                <c:pt idx="47">
                  <c:v>-59.228480998253325</c:v>
                </c:pt>
                <c:pt idx="48">
                  <c:v>-63.773175745862318</c:v>
                </c:pt>
                <c:pt idx="49">
                  <c:v>-67.158732619280016</c:v>
                </c:pt>
                <c:pt idx="50">
                  <c:v>-69.803083038336894</c:v>
                </c:pt>
                <c:pt idx="51">
                  <c:v>-71.93882901423413</c:v>
                </c:pt>
                <c:pt idx="52">
                  <c:v>-73.708969513438674</c:v>
                </c:pt>
                <c:pt idx="53">
                  <c:v>-75.20724773633934</c:v>
                </c:pt>
                <c:pt idx="54">
                  <c:v>-76.497900136842262</c:v>
                </c:pt>
                <c:pt idx="55">
                  <c:v>-84.002654574413427</c:v>
                </c:pt>
              </c:numCache>
            </c:numRef>
          </c:yVal>
          <c:smooth val="1"/>
        </c:ser>
        <c:dLbls>
          <c:showLegendKey val="0"/>
          <c:showVal val="0"/>
          <c:showCatName val="0"/>
          <c:showSerName val="0"/>
          <c:showPercent val="0"/>
          <c:showBubbleSize val="0"/>
        </c:dLbls>
        <c:axId val="204846976"/>
        <c:axId val="204853248"/>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90.049325339247687</c:v>
                </c:pt>
                <c:pt idx="1">
                  <c:v>90.098650313983654</c:v>
                </c:pt>
                <c:pt idx="2">
                  <c:v>90.147974559706796</c:v>
                </c:pt>
                <c:pt idx="3">
                  <c:v>90.197297711937111</c:v>
                </c:pt>
                <c:pt idx="4">
                  <c:v>90.246619406226415</c:v>
                </c:pt>
                <c:pt idx="5">
                  <c:v>90.295939278168873</c:v>
                </c:pt>
                <c:pt idx="6">
                  <c:v>90.345256963411529</c:v>
                </c:pt>
                <c:pt idx="7">
                  <c:v>90.394572097664991</c:v>
                </c:pt>
                <c:pt idx="8">
                  <c:v>90.44388431671382</c:v>
                </c:pt>
                <c:pt idx="9">
                  <c:v>90.493193256427361</c:v>
                </c:pt>
                <c:pt idx="10">
                  <c:v>90.986022262998787</c:v>
                </c:pt>
                <c:pt idx="11">
                  <c:v>91.478123826197745</c:v>
                </c:pt>
                <c:pt idx="12">
                  <c:v>91.969136857926543</c:v>
                </c:pt>
                <c:pt idx="13">
                  <c:v>92.458703410157653</c:v>
                </c:pt>
                <c:pt idx="14">
                  <c:v>92.946469688171945</c:v>
                </c:pt>
                <c:pt idx="15">
                  <c:v>93.43208703566691</c:v>
                </c:pt>
                <c:pt idx="16">
                  <c:v>93.915212885369414</c:v>
                </c:pt>
                <c:pt idx="17">
                  <c:v>94.395511669210521</c:v>
                </c:pt>
                <c:pt idx="18">
                  <c:v>94.872655682612177</c:v>
                </c:pt>
                <c:pt idx="19">
                  <c:v>99.405563308891487</c:v>
                </c:pt>
                <c:pt idx="20">
                  <c:v>103.34436368926265</c:v>
                </c:pt>
                <c:pt idx="21">
                  <c:v>106.56015025624271</c:v>
                </c:pt>
                <c:pt idx="22">
                  <c:v>109.03776920961774</c:v>
                </c:pt>
                <c:pt idx="23">
                  <c:v>110.8373990838618</c:v>
                </c:pt>
                <c:pt idx="24">
                  <c:v>112.055524567029</c:v>
                </c:pt>
                <c:pt idx="25">
                  <c:v>112.79736606948865</c:v>
                </c:pt>
                <c:pt idx="26">
                  <c:v>113.16154620366596</c:v>
                </c:pt>
                <c:pt idx="27">
                  <c:v>113.23347276184072</c:v>
                </c:pt>
                <c:pt idx="28">
                  <c:v>108.01979346576631</c:v>
                </c:pt>
                <c:pt idx="29">
                  <c:v>102.26230109985984</c:v>
                </c:pt>
                <c:pt idx="30">
                  <c:v>97.995097347053971</c:v>
                </c:pt>
                <c:pt idx="31">
                  <c:v>94.747805130413568</c:v>
                </c:pt>
                <c:pt idx="32">
                  <c:v>92.134245641929724</c:v>
                </c:pt>
                <c:pt idx="33">
                  <c:v>89.927158297623478</c:v>
                </c:pt>
                <c:pt idx="34">
                  <c:v>87.993493984495956</c:v>
                </c:pt>
                <c:pt idx="35">
                  <c:v>86.252371495748761</c:v>
                </c:pt>
                <c:pt idx="36">
                  <c:v>84.652520612974371</c:v>
                </c:pt>
                <c:pt idx="37">
                  <c:v>72.277277101966519</c:v>
                </c:pt>
                <c:pt idx="38">
                  <c:v>62.950606253079357</c:v>
                </c:pt>
                <c:pt idx="39">
                  <c:v>55.52980647567135</c:v>
                </c:pt>
                <c:pt idx="40">
                  <c:v>49.641470041034594</c:v>
                </c:pt>
                <c:pt idx="41">
                  <c:v>44.98681867345779</c:v>
                </c:pt>
                <c:pt idx="42">
                  <c:v>41.308260101890056</c:v>
                </c:pt>
                <c:pt idx="43">
                  <c:v>38.39550300921033</c:v>
                </c:pt>
                <c:pt idx="44">
                  <c:v>36.083606986411851</c:v>
                </c:pt>
                <c:pt idx="45">
                  <c:v>34.245690126963964</c:v>
                </c:pt>
                <c:pt idx="46">
                  <c:v>28.401957663202651</c:v>
                </c:pt>
                <c:pt idx="47">
                  <c:v>30.29008297118375</c:v>
                </c:pt>
                <c:pt idx="48">
                  <c:v>33.940400111767566</c:v>
                </c:pt>
                <c:pt idx="49">
                  <c:v>37.955501279647748</c:v>
                </c:pt>
                <c:pt idx="50">
                  <c:v>41.865111607434038</c:v>
                </c:pt>
                <c:pt idx="51">
                  <c:v>45.495519622095195</c:v>
                </c:pt>
                <c:pt idx="52">
                  <c:v>48.792404202830362</c:v>
                </c:pt>
                <c:pt idx="53">
                  <c:v>51.754114674248434</c:v>
                </c:pt>
                <c:pt idx="54">
                  <c:v>54.402005780911225</c:v>
                </c:pt>
                <c:pt idx="55">
                  <c:v>69.760854546611611</c:v>
                </c:pt>
              </c:numCache>
            </c:numRef>
          </c:yVal>
          <c:smooth val="1"/>
        </c:ser>
        <c:dLbls>
          <c:showLegendKey val="0"/>
          <c:showVal val="0"/>
          <c:showCatName val="0"/>
          <c:showSerName val="0"/>
          <c:showPercent val="0"/>
          <c:showBubbleSize val="0"/>
        </c:dLbls>
        <c:axId val="204857344"/>
        <c:axId val="204855168"/>
      </c:scatterChart>
      <c:valAx>
        <c:axId val="204846976"/>
        <c:scaling>
          <c:logBase val="10"/>
          <c:orientation val="minMax"/>
        </c:scaling>
        <c:delete val="0"/>
        <c:axPos val="b"/>
        <c:majorGridlines/>
        <c:title>
          <c:tx>
            <c:rich>
              <a:bodyPr/>
              <a:lstStyle/>
              <a:p>
                <a:pPr>
                  <a:defRPr/>
                </a:pPr>
                <a:r>
                  <a:rPr lang="en-US"/>
                  <a:t>Frequency (Hz)</a:t>
                </a:r>
              </a:p>
            </c:rich>
          </c:tx>
          <c:layout/>
          <c:overlay val="0"/>
        </c:title>
        <c:numFmt formatCode="General" sourceLinked="0"/>
        <c:majorTickMark val="out"/>
        <c:minorTickMark val="none"/>
        <c:tickLblPos val="low"/>
        <c:crossAx val="204853248"/>
        <c:crosses val="autoZero"/>
        <c:crossBetween val="midCat"/>
      </c:valAx>
      <c:valAx>
        <c:axId val="204853248"/>
        <c:scaling>
          <c:orientation val="minMax"/>
        </c:scaling>
        <c:delete val="0"/>
        <c:axPos val="l"/>
        <c:majorGridlines/>
        <c:title>
          <c:tx>
            <c:rich>
              <a:bodyPr rot="-5400000" vert="horz"/>
              <a:lstStyle/>
              <a:p>
                <a:pPr>
                  <a:defRPr/>
                </a:pPr>
                <a:r>
                  <a:rPr lang="en-US"/>
                  <a:t>Gain</a:t>
                </a:r>
                <a:r>
                  <a:rPr lang="en-US" baseline="0"/>
                  <a:t> (dB)</a:t>
                </a:r>
                <a:endParaRPr lang="en-US"/>
              </a:p>
            </c:rich>
          </c:tx>
          <c:layout/>
          <c:overlay val="0"/>
        </c:title>
        <c:numFmt formatCode="General" sourceLinked="0"/>
        <c:majorTickMark val="out"/>
        <c:minorTickMark val="none"/>
        <c:tickLblPos val="nextTo"/>
        <c:crossAx val="204846976"/>
        <c:crosses val="autoZero"/>
        <c:crossBetween val="midCat"/>
        <c:majorUnit val="20"/>
      </c:valAx>
      <c:valAx>
        <c:axId val="204855168"/>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204857344"/>
        <c:crosses val="max"/>
        <c:crossBetween val="midCat"/>
        <c:majorUnit val="90"/>
      </c:valAx>
      <c:valAx>
        <c:axId val="204857344"/>
        <c:scaling>
          <c:logBase val="10"/>
          <c:orientation val="minMax"/>
        </c:scaling>
        <c:delete val="1"/>
        <c:axPos val="b"/>
        <c:majorGridlines/>
        <c:minorGridlines/>
        <c:numFmt formatCode="##0.000E+0" sourceLinked="1"/>
        <c:majorTickMark val="out"/>
        <c:minorTickMark val="none"/>
        <c:tickLblPos val="nextTo"/>
        <c:crossAx val="20485516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0.1274626088405616"/>
          <c:y val="0.13050428257596328"/>
          <c:w val="0.74697891930175397"/>
          <c:h val="0.70888192267502614"/>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60.001738108542114</c:v>
                </c:pt>
                <c:pt idx="1">
                  <c:v>53.981162603299225</c:v>
                </c:pt>
                <c:pt idx="2">
                  <c:v>50.459378101813357</c:v>
                </c:pt>
                <c:pt idx="3">
                  <c:v>47.960660320215879</c:v>
                </c:pt>
                <c:pt idx="4">
                  <c:v>46.02253328065364</c:v>
                </c:pt>
                <c:pt idx="5">
                  <c:v>44.438997849160103</c:v>
                </c:pt>
                <c:pt idx="6">
                  <c:v>43.10016781343657</c:v>
                </c:pt>
                <c:pt idx="7">
                  <c:v>41.940450896511166</c:v>
                </c:pt>
                <c:pt idx="8">
                  <c:v>40.91753873398136</c:v>
                </c:pt>
                <c:pt idx="9">
                  <c:v>40.002543470765517</c:v>
                </c:pt>
                <c:pt idx="10">
                  <c:v>33.984382752742341</c:v>
                </c:pt>
                <c:pt idx="11">
                  <c:v>30.466618571159845</c:v>
                </c:pt>
                <c:pt idx="12">
                  <c:v>27.973520175034334</c:v>
                </c:pt>
                <c:pt idx="13">
                  <c:v>26.042602574503313</c:v>
                </c:pt>
                <c:pt idx="14">
                  <c:v>24.467855120169922</c:v>
                </c:pt>
                <c:pt idx="15">
                  <c:v>23.139377633532227</c:v>
                </c:pt>
                <c:pt idx="16">
                  <c:v>21.991561483974166</c:v>
                </c:pt>
                <c:pt idx="17">
                  <c:v>20.982079639439448</c:v>
                </c:pt>
                <c:pt idx="18">
                  <c:v>20.082023346046405</c:v>
                </c:pt>
                <c:pt idx="19">
                  <c:v>14.290239118583063</c:v>
                </c:pt>
                <c:pt idx="20">
                  <c:v>11.114397624140853</c:v>
                </c:pt>
                <c:pt idx="21">
                  <c:v>9.0390931510513788</c:v>
                </c:pt>
                <c:pt idx="22">
                  <c:v>7.5641633667378763</c:v>
                </c:pt>
                <c:pt idx="23">
                  <c:v>6.45367119768121</c:v>
                </c:pt>
                <c:pt idx="24">
                  <c:v>5.576881115703479</c:v>
                </c:pt>
                <c:pt idx="25">
                  <c:v>4.8552842361525279</c:v>
                </c:pt>
                <c:pt idx="26">
                  <c:v>4.2396198936072693</c:v>
                </c:pt>
                <c:pt idx="27">
                  <c:v>3.6981318696913128</c:v>
                </c:pt>
                <c:pt idx="28">
                  <c:v>-0.1103952880681689</c:v>
                </c:pt>
                <c:pt idx="29">
                  <c:v>-2.8364501845841623</c:v>
                </c:pt>
                <c:pt idx="30">
                  <c:v>-5.0020588623611033</c:v>
                </c:pt>
                <c:pt idx="31">
                  <c:v>-6.7836750021262553</c:v>
                </c:pt>
                <c:pt idx="32">
                  <c:v>-8.2913465432194471</c:v>
                </c:pt>
                <c:pt idx="33">
                  <c:v>-9.59698972261927</c:v>
                </c:pt>
                <c:pt idx="34">
                  <c:v>-10.748991865457791</c:v>
                </c:pt>
                <c:pt idx="35">
                  <c:v>-11.780985696102627</c:v>
                </c:pt>
                <c:pt idx="36">
                  <c:v>-12.717089158869559</c:v>
                </c:pt>
                <c:pt idx="37">
                  <c:v>-19.279168207734397</c:v>
                </c:pt>
                <c:pt idx="38">
                  <c:v>-23.6434352285413</c:v>
                </c:pt>
                <c:pt idx="39">
                  <c:v>-27.105898460013023</c:v>
                </c:pt>
                <c:pt idx="40">
                  <c:v>-30.032845894829851</c:v>
                </c:pt>
                <c:pt idx="41">
                  <c:v>-32.579359110990495</c:v>
                </c:pt>
                <c:pt idx="42">
                  <c:v>-34.832070380029776</c:v>
                </c:pt>
                <c:pt idx="43">
                  <c:v>-36.848375730019349</c:v>
                </c:pt>
                <c:pt idx="44">
                  <c:v>-38.669903212480712</c:v>
                </c:pt>
                <c:pt idx="45">
                  <c:v>-40.328306514979502</c:v>
                </c:pt>
                <c:pt idx="46">
                  <c:v>-51.620110353604957</c:v>
                </c:pt>
                <c:pt idx="47">
                  <c:v>-58.242392299056732</c:v>
                </c:pt>
                <c:pt idx="48">
                  <c:v>-62.799472144583561</c:v>
                </c:pt>
                <c:pt idx="49">
                  <c:v>-66.190850119639009</c:v>
                </c:pt>
                <c:pt idx="50">
                  <c:v>-68.838386540194051</c:v>
                </c:pt>
                <c:pt idx="51">
                  <c:v>-70.976061788393906</c:v>
                </c:pt>
                <c:pt idx="52">
                  <c:v>-72.747457784135761</c:v>
                </c:pt>
                <c:pt idx="53">
                  <c:v>-74.246598288641138</c:v>
                </c:pt>
                <c:pt idx="54">
                  <c:v>-75.537868233043355</c:v>
                </c:pt>
                <c:pt idx="55">
                  <c:v>-83.044601445668974</c:v>
                </c:pt>
              </c:numCache>
            </c:numRef>
          </c:yVal>
          <c:smooth val="1"/>
        </c:ser>
        <c:dLbls>
          <c:showLegendKey val="0"/>
          <c:showVal val="0"/>
          <c:showCatName val="0"/>
          <c:showSerName val="0"/>
          <c:showPercent val="0"/>
          <c:showBubbleSize val="0"/>
        </c:dLbls>
        <c:axId val="204965376"/>
        <c:axId val="204967296"/>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90.049053539474258</c:v>
                </c:pt>
                <c:pt idx="1">
                  <c:v>90.098106715796263</c:v>
                </c:pt>
                <c:pt idx="2">
                  <c:v>90.147159165824249</c:v>
                </c:pt>
                <c:pt idx="3">
                  <c:v>90.196210526437511</c:v>
                </c:pt>
                <c:pt idx="4">
                  <c:v>90.24526043454695</c:v>
                </c:pt>
                <c:pt idx="5">
                  <c:v>90.294308527105528</c:v>
                </c:pt>
                <c:pt idx="6">
                  <c:v>90.343354441118848</c:v>
                </c:pt>
                <c:pt idx="7">
                  <c:v>90.39239781365562</c:v>
                </c:pt>
                <c:pt idx="8">
                  <c:v>90.441438281858183</c:v>
                </c:pt>
                <c:pt idx="9">
                  <c:v>90.490475482953059</c:v>
                </c:pt>
                <c:pt idx="10">
                  <c:v>90.980588073971106</c:v>
                </c:pt>
                <c:pt idx="11">
                  <c:v>91.469975931304717</c:v>
                </c:pt>
                <c:pt idx="12">
                  <c:v>91.958279306374109</c:v>
                </c:pt>
                <c:pt idx="13">
                  <c:v>92.445141572441202</c:v>
                </c:pt>
                <c:pt idx="14">
                  <c:v>92.930210232040224</c:v>
                </c:pt>
                <c:pt idx="15">
                  <c:v>93.413137896502988</c:v>
                </c:pt>
                <c:pt idx="16">
                  <c:v>93.893583231262369</c:v>
                </c:pt>
                <c:pt idx="17">
                  <c:v>94.371211861037338</c:v>
                </c:pt>
                <c:pt idx="18">
                  <c:v>94.845697229488195</c:v>
                </c:pt>
                <c:pt idx="19">
                  <c:v>99.352865012559064</c:v>
                </c:pt>
                <c:pt idx="20">
                  <c:v>103.26790333128424</c:v>
                </c:pt>
                <c:pt idx="21">
                  <c:v>106.46206737552478</c:v>
                </c:pt>
                <c:pt idx="22">
                  <c:v>108.91993732871384</c:v>
                </c:pt>
                <c:pt idx="23">
                  <c:v>110.70125162426034</c:v>
                </c:pt>
                <c:pt idx="24">
                  <c:v>111.90205969510775</c:v>
                </c:pt>
                <c:pt idx="25">
                  <c:v>112.62722974619288</c:v>
                </c:pt>
                <c:pt idx="26">
                  <c:v>112.97512847459269</c:v>
                </c:pt>
                <c:pt idx="27">
                  <c:v>113.03098950884893</c:v>
                </c:pt>
                <c:pt idx="28">
                  <c:v>107.65649521213417</c:v>
                </c:pt>
                <c:pt idx="29">
                  <c:v>101.73425393381108</c:v>
                </c:pt>
                <c:pt idx="30">
                  <c:v>97.301163063012851</c:v>
                </c:pt>
                <c:pt idx="31">
                  <c:v>93.888633145899078</c:v>
                </c:pt>
                <c:pt idx="32">
                  <c:v>91.111483356610321</c:v>
                </c:pt>
                <c:pt idx="33">
                  <c:v>88.743133213359883</c:v>
                </c:pt>
                <c:pt idx="34">
                  <c:v>86.651063788103073</c:v>
                </c:pt>
                <c:pt idx="35">
                  <c:v>84.754837659030571</c:v>
                </c:pt>
                <c:pt idx="36">
                  <c:v>83.003568381747812</c:v>
                </c:pt>
                <c:pt idx="37">
                  <c:v>69.37138656512235</c:v>
                </c:pt>
                <c:pt idx="38">
                  <c:v>59.304497761251653</c:v>
                </c:pt>
                <c:pt idx="39">
                  <c:v>51.572155618596454</c:v>
                </c:pt>
                <c:pt idx="40">
                  <c:v>45.647909261642965</c:v>
                </c:pt>
                <c:pt idx="41">
                  <c:v>41.107731275638727</c:v>
                </c:pt>
                <c:pt idx="42">
                  <c:v>37.614211201332125</c:v>
                </c:pt>
                <c:pt idx="43">
                  <c:v>34.912072146058151</c:v>
                </c:pt>
                <c:pt idx="44">
                  <c:v>32.812914566373493</c:v>
                </c:pt>
                <c:pt idx="45">
                  <c:v>31.178511167680355</c:v>
                </c:pt>
                <c:pt idx="46">
                  <c:v>26.630404984907727</c:v>
                </c:pt>
                <c:pt idx="47">
                  <c:v>29.074071897958561</c:v>
                </c:pt>
                <c:pt idx="48">
                  <c:v>33.018837325973273</c:v>
                </c:pt>
                <c:pt idx="49">
                  <c:v>37.214658326144658</c:v>
                </c:pt>
                <c:pt idx="50">
                  <c:v>41.24610380022424</c:v>
                </c:pt>
                <c:pt idx="51">
                  <c:v>44.964090950025046</c:v>
                </c:pt>
                <c:pt idx="52">
                  <c:v>48.326919792533111</c:v>
                </c:pt>
                <c:pt idx="53">
                  <c:v>51.340055076709341</c:v>
                </c:pt>
                <c:pt idx="54">
                  <c:v>54.029161561561139</c:v>
                </c:pt>
                <c:pt idx="55">
                  <c:v>69.574127097782323</c:v>
                </c:pt>
              </c:numCache>
            </c:numRef>
          </c:yVal>
          <c:smooth val="1"/>
        </c:ser>
        <c:dLbls>
          <c:showLegendKey val="0"/>
          <c:showVal val="0"/>
          <c:showCatName val="0"/>
          <c:showSerName val="0"/>
          <c:showPercent val="0"/>
          <c:showBubbleSize val="0"/>
        </c:dLbls>
        <c:axId val="204975488"/>
        <c:axId val="204973568"/>
      </c:scatterChart>
      <c:valAx>
        <c:axId val="204965376"/>
        <c:scaling>
          <c:logBase val="10"/>
          <c:orientation val="minMax"/>
        </c:scaling>
        <c:delete val="0"/>
        <c:axPos val="b"/>
        <c:majorGridlines/>
        <c:title>
          <c:tx>
            <c:rich>
              <a:bodyPr/>
              <a:lstStyle/>
              <a:p>
                <a:pPr>
                  <a:defRPr/>
                </a:pPr>
                <a:r>
                  <a:rPr lang="en-US"/>
                  <a:t>Frequency (Hz)</a:t>
                </a:r>
              </a:p>
            </c:rich>
          </c:tx>
          <c:layout/>
          <c:overlay val="0"/>
        </c:title>
        <c:numFmt formatCode="General" sourceLinked="0"/>
        <c:majorTickMark val="out"/>
        <c:minorTickMark val="none"/>
        <c:tickLblPos val="low"/>
        <c:crossAx val="204967296"/>
        <c:crosses val="autoZero"/>
        <c:crossBetween val="midCat"/>
      </c:valAx>
      <c:valAx>
        <c:axId val="204967296"/>
        <c:scaling>
          <c:orientation val="minMax"/>
        </c:scaling>
        <c:delete val="0"/>
        <c:axPos val="l"/>
        <c:majorGridlines/>
        <c:title>
          <c:tx>
            <c:rich>
              <a:bodyPr rot="-5400000" vert="horz"/>
              <a:lstStyle/>
              <a:p>
                <a:pPr>
                  <a:defRPr/>
                </a:pPr>
                <a:r>
                  <a:rPr lang="en-US"/>
                  <a:t>Gain</a:t>
                </a:r>
                <a:r>
                  <a:rPr lang="en-US" baseline="0"/>
                  <a:t> (dB)</a:t>
                </a:r>
                <a:endParaRPr lang="en-US"/>
              </a:p>
            </c:rich>
          </c:tx>
          <c:layout/>
          <c:overlay val="0"/>
        </c:title>
        <c:numFmt formatCode="General" sourceLinked="0"/>
        <c:majorTickMark val="out"/>
        <c:minorTickMark val="none"/>
        <c:tickLblPos val="nextTo"/>
        <c:crossAx val="204965376"/>
        <c:crosses val="autoZero"/>
        <c:crossBetween val="midCat"/>
        <c:majorUnit val="20"/>
      </c:valAx>
      <c:valAx>
        <c:axId val="204973568"/>
        <c:scaling>
          <c:orientation val="minMax"/>
          <c:max val="180"/>
          <c:min val="-180"/>
        </c:scaling>
        <c:delete val="0"/>
        <c:axPos val="r"/>
        <c:title>
          <c:tx>
            <c:rich>
              <a:bodyPr rot="-5400000" vert="horz"/>
              <a:lstStyle/>
              <a:p>
                <a:pPr>
                  <a:defRPr/>
                </a:pPr>
                <a:r>
                  <a:rPr lang="en-US"/>
                  <a:t>Phase</a:t>
                </a:r>
                <a:r>
                  <a:rPr lang="en-US" baseline="0"/>
                  <a:t> (Degrees)</a:t>
                </a:r>
                <a:endParaRPr lang="en-US"/>
              </a:p>
            </c:rich>
          </c:tx>
          <c:layout/>
          <c:overlay val="0"/>
        </c:title>
        <c:numFmt formatCode="General" sourceLinked="1"/>
        <c:majorTickMark val="out"/>
        <c:minorTickMark val="none"/>
        <c:tickLblPos val="nextTo"/>
        <c:crossAx val="204975488"/>
        <c:crosses val="max"/>
        <c:crossBetween val="midCat"/>
        <c:majorUnit val="90"/>
      </c:valAx>
      <c:valAx>
        <c:axId val="204975488"/>
        <c:scaling>
          <c:logBase val="10"/>
          <c:orientation val="minMax"/>
        </c:scaling>
        <c:delete val="1"/>
        <c:axPos val="b"/>
        <c:majorGridlines/>
        <c:minorGridlines/>
        <c:numFmt formatCode="##0.000E+0" sourceLinked="1"/>
        <c:majorTickMark val="out"/>
        <c:minorTickMark val="none"/>
        <c:tickLblPos val="nextTo"/>
        <c:crossAx val="204973568"/>
        <c:crosses val="autoZero"/>
        <c:crossBetween val="midCat"/>
      </c:valAx>
    </c:plotArea>
    <c:legend>
      <c:legendPos val="r"/>
      <c:layout>
        <c:manualLayout>
          <c:xMode val="edge"/>
          <c:yMode val="edge"/>
          <c:x val="0.14255693844721024"/>
          <c:y val="0.58413381712865831"/>
          <c:w val="0.24727062343013576"/>
          <c:h val="0.22170957470441588"/>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Flyback_DCM_Calc!$N$4:$N$54</c:f>
              <c:numCache>
                <c:formatCode>0.0000</c:formatCode>
                <c:ptCount val="51"/>
                <c:pt idx="0">
                  <c:v>0.36514837167011072</c:v>
                </c:pt>
                <c:pt idx="1">
                  <c:v>0.33602610889887491</c:v>
                </c:pt>
                <c:pt idx="2">
                  <c:v>0.31120599858248071</c:v>
                </c:pt>
                <c:pt idx="3">
                  <c:v>0.28980029497627835</c:v>
                </c:pt>
                <c:pt idx="4">
                  <c:v>0.27114978094315151</c:v>
                </c:pt>
                <c:pt idx="5">
                  <c:v>0.25475467790937956</c:v>
                </c:pt>
                <c:pt idx="6">
                  <c:v>0.24022919188823075</c:v>
                </c:pt>
                <c:pt idx="7">
                  <c:v>0.22727077074903154</c:v>
                </c:pt>
                <c:pt idx="8">
                  <c:v>0.21563880216738823</c:v>
                </c:pt>
                <c:pt idx="9">
                  <c:v>0.20513953464612961</c:v>
                </c:pt>
                <c:pt idx="10">
                  <c:v>0.19561519910898789</c:v>
                </c:pt>
                <c:pt idx="11">
                  <c:v>0.18693602645227514</c:v>
                </c:pt>
                <c:pt idx="12">
                  <c:v>0.17899429983828957</c:v>
                </c:pt>
                <c:pt idx="13">
                  <c:v>0.17169986128688591</c:v>
                </c:pt>
                <c:pt idx="14">
                  <c:v>0.16497667394733917</c:v>
                </c:pt>
                <c:pt idx="15">
                  <c:v>0.15876016159570028</c:v>
                </c:pt>
                <c:pt idx="16">
                  <c:v>0.15299512779473912</c:v>
                </c:pt>
                <c:pt idx="17">
                  <c:v>0.14763411253508521</c:v>
                </c:pt>
                <c:pt idx="18">
                  <c:v>0.14263608268363701</c:v>
                </c:pt>
                <c:pt idx="19">
                  <c:v>0.13796537972422318</c:v>
                </c:pt>
                <c:pt idx="20">
                  <c:v>0.13359086768418682</c:v>
                </c:pt>
                <c:pt idx="21">
                  <c:v>0.12948523818089033</c:v>
                </c:pt>
                <c:pt idx="22">
                  <c:v>0.12562443979476287</c:v>
                </c:pt>
                <c:pt idx="23">
                  <c:v>0.12198720657130646</c:v>
                </c:pt>
                <c:pt idx="24">
                  <c:v>0.11855466612665932</c:v>
                </c:pt>
                <c:pt idx="25">
                  <c:v>0.11531001210635075</c:v>
                </c:pt>
                <c:pt idx="26">
                  <c:v>0.11223822899696026</c:v>
                </c:pt>
                <c:pt idx="27">
                  <c:v>0.10932585978147027</c:v>
                </c:pt>
                <c:pt idx="28">
                  <c:v>0.10656080885314514</c:v>
                </c:pt>
                <c:pt idx="29">
                  <c:v>0.103932174099652</c:v>
                </c:pt>
                <c:pt idx="30">
                  <c:v>0.10143010324169739</c:v>
                </c:pt>
                <c:pt idx="31">
                  <c:v>9.904567043493058E-2</c:v>
                </c:pt>
                <c:pt idx="32">
                  <c:v>9.6770769877237817E-2</c:v>
                </c:pt>
                <c:pt idx="33">
                  <c:v>9.4598023748733343E-2</c:v>
                </c:pt>
                <c:pt idx="34">
                  <c:v>9.2520702281278067E-2</c:v>
                </c:pt>
                <c:pt idx="35">
                  <c:v>9.0532654133085311E-2</c:v>
                </c:pt>
                <c:pt idx="36">
                  <c:v>8.8628245550997756E-2</c:v>
                </c:pt>
                <c:pt idx="37">
                  <c:v>8.6802307053116659E-2</c:v>
                </c:pt>
                <c:pt idx="38">
                  <c:v>8.5050086569125161E-2</c:v>
                </c:pt>
                <c:pt idx="39">
                  <c:v>8.3367208143860894E-2</c:v>
                </c:pt>
                <c:pt idx="40">
                  <c:v>8.174963544853224E-2</c:v>
                </c:pt>
                <c:pt idx="41">
                  <c:v>8.0193639459028701E-2</c:v>
                </c:pt>
                <c:pt idx="42">
                  <c:v>7.8695769756489384E-2</c:v>
                </c:pt>
                <c:pt idx="43">
                  <c:v>7.7252828985213837E-2</c:v>
                </c:pt>
                <c:pt idx="44">
                  <c:v>7.5861850069967596E-2</c:v>
                </c:pt>
                <c:pt idx="45">
                  <c:v>7.4520075851043005E-2</c:v>
                </c:pt>
                <c:pt idx="46">
                  <c:v>7.3224940842936639E-2</c:v>
                </c:pt>
                <c:pt idx="47">
                  <c:v>7.1974054862702502E-2</c:v>
                </c:pt>
                <c:pt idx="48">
                  <c:v>7.0765188308161003E-2</c:v>
                </c:pt>
                <c:pt idx="49">
                  <c:v>6.9596258895192636E-2</c:v>
                </c:pt>
                <c:pt idx="50">
                  <c:v>6.8465319688145759E-2</c:v>
                </c:pt>
              </c:numCache>
            </c:numRef>
          </c:yVal>
          <c:smooth val="1"/>
        </c:ser>
        <c:dLbls>
          <c:showLegendKey val="0"/>
          <c:showVal val="0"/>
          <c:showCatName val="0"/>
          <c:showSerName val="0"/>
          <c:showPercent val="0"/>
          <c:showBubbleSize val="0"/>
        </c:dLbls>
        <c:axId val="209395072"/>
        <c:axId val="209405440"/>
      </c:scatterChart>
      <c:valAx>
        <c:axId val="209395072"/>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9405440"/>
        <c:crosses val="autoZero"/>
        <c:crossBetween val="midCat"/>
      </c:valAx>
      <c:valAx>
        <c:axId val="209405440"/>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209395072"/>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Flyback_DCM_Calc!$Q$4:$Q$54</c:f>
              <c:numCache>
                <c:formatCode>##0.00E+0</c:formatCode>
                <c:ptCount val="51"/>
                <c:pt idx="0">
                  <c:v>4.0572041296678973</c:v>
                </c:pt>
                <c:pt idx="1">
                  <c:v>4.0572041296678973</c:v>
                </c:pt>
                <c:pt idx="2">
                  <c:v>4.0572041296678973</c:v>
                </c:pt>
                <c:pt idx="3">
                  <c:v>4.0572041296678973</c:v>
                </c:pt>
                <c:pt idx="4">
                  <c:v>4.0572041296678973</c:v>
                </c:pt>
                <c:pt idx="5">
                  <c:v>4.0572041296678973</c:v>
                </c:pt>
                <c:pt idx="6">
                  <c:v>4.0572041296678973</c:v>
                </c:pt>
                <c:pt idx="7">
                  <c:v>4.0572041296678973</c:v>
                </c:pt>
                <c:pt idx="8">
                  <c:v>4.0572041296678973</c:v>
                </c:pt>
                <c:pt idx="9">
                  <c:v>4.0572041296678965</c:v>
                </c:pt>
                <c:pt idx="10">
                  <c:v>4.0572041296678973</c:v>
                </c:pt>
                <c:pt idx="11">
                  <c:v>4.0572041296678973</c:v>
                </c:pt>
                <c:pt idx="12">
                  <c:v>4.0572041296678973</c:v>
                </c:pt>
                <c:pt idx="13">
                  <c:v>4.0572041296678973</c:v>
                </c:pt>
                <c:pt idx="14">
                  <c:v>4.0572041296678973</c:v>
                </c:pt>
                <c:pt idx="15">
                  <c:v>4.0572041296678965</c:v>
                </c:pt>
                <c:pt idx="16">
                  <c:v>4.0572041296678973</c:v>
                </c:pt>
                <c:pt idx="17">
                  <c:v>4.0572041296678973</c:v>
                </c:pt>
                <c:pt idx="18">
                  <c:v>4.0572041296678973</c:v>
                </c:pt>
                <c:pt idx="19">
                  <c:v>4.0572041296678965</c:v>
                </c:pt>
                <c:pt idx="20">
                  <c:v>4.0572041296678965</c:v>
                </c:pt>
                <c:pt idx="21">
                  <c:v>4.0572041296678973</c:v>
                </c:pt>
                <c:pt idx="22">
                  <c:v>4.0572041296678973</c:v>
                </c:pt>
                <c:pt idx="23">
                  <c:v>4.0572041296678965</c:v>
                </c:pt>
                <c:pt idx="24">
                  <c:v>4.0572041296678973</c:v>
                </c:pt>
                <c:pt idx="25">
                  <c:v>4.0572041296678973</c:v>
                </c:pt>
                <c:pt idx="26">
                  <c:v>4.0572041296678973</c:v>
                </c:pt>
                <c:pt idx="27">
                  <c:v>4.0572041296678973</c:v>
                </c:pt>
                <c:pt idx="28">
                  <c:v>4.0572041296678973</c:v>
                </c:pt>
                <c:pt idx="29">
                  <c:v>4.0572041296678973</c:v>
                </c:pt>
                <c:pt idx="30">
                  <c:v>4.0572041296678965</c:v>
                </c:pt>
                <c:pt idx="31">
                  <c:v>4.0572041296678973</c:v>
                </c:pt>
                <c:pt idx="32">
                  <c:v>4.0572041296678973</c:v>
                </c:pt>
                <c:pt idx="33">
                  <c:v>4.0572041296678973</c:v>
                </c:pt>
                <c:pt idx="34">
                  <c:v>4.0572041296678973</c:v>
                </c:pt>
                <c:pt idx="35">
                  <c:v>4.0572041296678973</c:v>
                </c:pt>
                <c:pt idx="36">
                  <c:v>4.0572041296678973</c:v>
                </c:pt>
                <c:pt idx="37">
                  <c:v>4.0572041296678973</c:v>
                </c:pt>
                <c:pt idx="38">
                  <c:v>4.0572041296678973</c:v>
                </c:pt>
                <c:pt idx="39">
                  <c:v>4.0572041296678973</c:v>
                </c:pt>
                <c:pt idx="40">
                  <c:v>4.0572041296678973</c:v>
                </c:pt>
                <c:pt idx="41">
                  <c:v>4.0572041296678973</c:v>
                </c:pt>
                <c:pt idx="42">
                  <c:v>4.0572041296678973</c:v>
                </c:pt>
                <c:pt idx="43">
                  <c:v>4.0572041296678973</c:v>
                </c:pt>
                <c:pt idx="44">
                  <c:v>4.0572041296678973</c:v>
                </c:pt>
                <c:pt idx="45">
                  <c:v>4.0572041296678973</c:v>
                </c:pt>
                <c:pt idx="46">
                  <c:v>4.0572041296678973</c:v>
                </c:pt>
                <c:pt idx="47">
                  <c:v>4.0572041296678973</c:v>
                </c:pt>
                <c:pt idx="48">
                  <c:v>4.0572041296678973</c:v>
                </c:pt>
                <c:pt idx="49">
                  <c:v>4.0572041296678965</c:v>
                </c:pt>
                <c:pt idx="50">
                  <c:v>4.0572041296678973</c:v>
                </c:pt>
              </c:numCache>
            </c:numRef>
          </c:yVal>
          <c:smooth val="1"/>
        </c:ser>
        <c:dLbls>
          <c:showLegendKey val="0"/>
          <c:showVal val="0"/>
          <c:showCatName val="0"/>
          <c:showSerName val="0"/>
          <c:showPercent val="0"/>
          <c:showBubbleSize val="0"/>
        </c:dLbls>
        <c:axId val="209426304"/>
        <c:axId val="209440768"/>
      </c:scatterChart>
      <c:valAx>
        <c:axId val="209426304"/>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9440768"/>
        <c:crosses val="autoZero"/>
        <c:crossBetween val="midCat"/>
      </c:valAx>
      <c:valAx>
        <c:axId val="209440768"/>
        <c:scaling>
          <c:orientation val="minMax"/>
        </c:scaling>
        <c:delete val="0"/>
        <c:axPos val="l"/>
        <c:majorGridlines/>
        <c:minorGridlines/>
        <c:title>
          <c:tx>
            <c:rich>
              <a:bodyPr rot="-5400000" vert="horz"/>
              <a:lstStyle/>
              <a:p>
                <a:pPr>
                  <a:defRPr/>
                </a:pPr>
                <a:r>
                  <a:rPr lang="en-US"/>
                  <a:t>Primary</a:t>
                </a:r>
                <a:r>
                  <a:rPr lang="en-US" baseline="0"/>
                  <a:t> Peak Current (A)</a:t>
                </a:r>
                <a:endParaRPr lang="en-US"/>
              </a:p>
            </c:rich>
          </c:tx>
          <c:layout/>
          <c:overlay val="0"/>
        </c:title>
        <c:numFmt formatCode="#,##0.00" sourceLinked="0"/>
        <c:majorTickMark val="out"/>
        <c:minorTickMark val="none"/>
        <c:tickLblPos val="nextTo"/>
        <c:crossAx val="209426304"/>
        <c:crosses val="autoZero"/>
        <c:crossBetween val="midCat"/>
        <c:majorUnit val="1"/>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a:t>
            </a:r>
            <a:r>
              <a:rPr lang="en-US" baseline="0"/>
              <a:t>nput Current</a:t>
            </a:r>
            <a:endParaRPr lang="en-US"/>
          </a:p>
        </c:rich>
      </c:tx>
      <c:layout/>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'Fly-Buck_Calc'!$M$4:$M$54</c:f>
              <c:numCache>
                <c:formatCode>General</c:formatCode>
                <c:ptCount val="51"/>
                <c:pt idx="0">
                  <c:v>0.61728395061728403</c:v>
                </c:pt>
                <c:pt idx="1">
                  <c:v>0.56805271529197909</c:v>
                </c:pt>
                <c:pt idx="2">
                  <c:v>0.52609427609427606</c:v>
                </c:pt>
                <c:pt idx="3">
                  <c:v>0.48990789731530476</c:v>
                </c:pt>
                <c:pt idx="4">
                  <c:v>0.45837917125045835</c:v>
                </c:pt>
                <c:pt idx="5">
                  <c:v>0.43066322136089574</c:v>
                </c:pt>
                <c:pt idx="6">
                  <c:v>0.40610786224821316</c:v>
                </c:pt>
                <c:pt idx="7">
                  <c:v>0.38420162901490701</c:v>
                </c:pt>
                <c:pt idx="8">
                  <c:v>0.36453776611256922</c:v>
                </c:pt>
                <c:pt idx="9">
                  <c:v>0.34678873630184492</c:v>
                </c:pt>
                <c:pt idx="10">
                  <c:v>0.33068783068783064</c:v>
                </c:pt>
                <c:pt idx="11">
                  <c:v>0.31601567437744915</c:v>
                </c:pt>
                <c:pt idx="12">
                  <c:v>0.30259017187121762</c:v>
                </c:pt>
                <c:pt idx="13">
                  <c:v>0.2902589109485661</c:v>
                </c:pt>
                <c:pt idx="14">
                  <c:v>0.2788933511825078</c:v>
                </c:pt>
                <c:pt idx="15">
                  <c:v>0.26838432635534082</c:v>
                </c:pt>
                <c:pt idx="16">
                  <c:v>0.25863852679495136</c:v>
                </c:pt>
                <c:pt idx="17">
                  <c:v>0.24957572127383448</c:v>
                </c:pt>
                <c:pt idx="18">
                  <c:v>0.24112654320987653</c:v>
                </c:pt>
                <c:pt idx="19">
                  <c:v>0.23323071182013244</c:v>
                </c:pt>
                <c:pt idx="20">
                  <c:v>0.22583559168925021</c:v>
                </c:pt>
                <c:pt idx="21">
                  <c:v>0.21889501794939148</c:v>
                </c:pt>
                <c:pt idx="22">
                  <c:v>0.21236833163438668</c:v>
                </c:pt>
                <c:pt idx="23">
                  <c:v>0.20621958261156478</c:v>
                </c:pt>
                <c:pt idx="24">
                  <c:v>0.20041686708353373</c:v>
                </c:pt>
                <c:pt idx="25">
                  <c:v>0.19493177387914229</c:v>
                </c:pt>
                <c:pt idx="26">
                  <c:v>0.18973891924711597</c:v>
                </c:pt>
                <c:pt idx="27">
                  <c:v>0.1848155540770311</c:v>
                </c:pt>
                <c:pt idx="28">
                  <c:v>0.1801412307248883</c:v>
                </c:pt>
                <c:pt idx="29">
                  <c:v>0.17569751915102957</c:v>
                </c:pt>
                <c:pt idx="30">
                  <c:v>0.1714677640603566</c:v>
                </c:pt>
                <c:pt idx="31">
                  <c:v>0.16743687629763579</c:v>
                </c:pt>
                <c:pt idx="32">
                  <c:v>0.16359115299044627</c:v>
                </c:pt>
                <c:pt idx="33">
                  <c:v>0.15991812192157615</c:v>
                </c:pt>
                <c:pt idx="34">
                  <c:v>0.15640640640640643</c:v>
                </c:pt>
                <c:pt idx="35">
                  <c:v>0.15304560759106212</c:v>
                </c:pt>
                <c:pt idx="36">
                  <c:v>0.14982620160613688</c:v>
                </c:pt>
                <c:pt idx="37">
                  <c:v>0.14673944943358574</c:v>
                </c:pt>
                <c:pt idx="38">
                  <c:v>0.14377731769036114</c:v>
                </c:pt>
                <c:pt idx="39">
                  <c:v>0.1409324088167315</c:v>
                </c:pt>
                <c:pt idx="40">
                  <c:v>0.13819789939192922</c:v>
                </c:pt>
                <c:pt idx="41">
                  <c:v>0.13556748549427902</c:v>
                </c:pt>
                <c:pt idx="42">
                  <c:v>0.13303533418475949</c:v>
                </c:pt>
                <c:pt idx="43">
                  <c:v>0.13059604032805724</c:v>
                </c:pt>
                <c:pt idx="44">
                  <c:v>0.1282445880783831</c:v>
                </c:pt>
                <c:pt idx="45">
                  <c:v>0.12597631645250693</c:v>
                </c:pt>
                <c:pt idx="46">
                  <c:v>0.12378688849277084</c:v>
                </c:pt>
                <c:pt idx="47">
                  <c:v>0.12167226359079183</c:v>
                </c:pt>
                <c:pt idx="48">
                  <c:v>0.11962867260024883</c:v>
                </c:pt>
                <c:pt idx="49">
                  <c:v>0.11765259541625489</c:v>
                </c:pt>
                <c:pt idx="50">
                  <c:v>0.11574074074074073</c:v>
                </c:pt>
              </c:numCache>
            </c:numRef>
          </c:yVal>
          <c:smooth val="1"/>
        </c:ser>
        <c:ser>
          <c:idx val="1"/>
          <c:order val="1"/>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'Fly-BB_Calc'!$M$4:$M$54</c:f>
              <c:numCache>
                <c:formatCode>General</c:formatCode>
                <c:ptCount val="51"/>
                <c:pt idx="0">
                  <c:v>0.61728395061728403</c:v>
                </c:pt>
                <c:pt idx="1">
                  <c:v>0.56805271529197909</c:v>
                </c:pt>
                <c:pt idx="2">
                  <c:v>0.52609427609427606</c:v>
                </c:pt>
                <c:pt idx="3">
                  <c:v>0.48990789731530476</c:v>
                </c:pt>
                <c:pt idx="4">
                  <c:v>0.45837917125045835</c:v>
                </c:pt>
                <c:pt idx="5">
                  <c:v>0.43066322136089574</c:v>
                </c:pt>
                <c:pt idx="6">
                  <c:v>0.40610786224821316</c:v>
                </c:pt>
                <c:pt idx="7">
                  <c:v>0.38420162901490701</c:v>
                </c:pt>
                <c:pt idx="8">
                  <c:v>0.36453776611256922</c:v>
                </c:pt>
                <c:pt idx="9">
                  <c:v>0.34678873630184492</c:v>
                </c:pt>
                <c:pt idx="10">
                  <c:v>0.33068783068783064</c:v>
                </c:pt>
                <c:pt idx="11">
                  <c:v>0.31601567437744915</c:v>
                </c:pt>
                <c:pt idx="12">
                  <c:v>0.30259017187121762</c:v>
                </c:pt>
                <c:pt idx="13">
                  <c:v>0.2902589109485661</c:v>
                </c:pt>
                <c:pt idx="14">
                  <c:v>0.2788933511825078</c:v>
                </c:pt>
                <c:pt idx="15">
                  <c:v>0.26838432635534082</c:v>
                </c:pt>
                <c:pt idx="16">
                  <c:v>0.25863852679495136</c:v>
                </c:pt>
                <c:pt idx="17">
                  <c:v>0.24957572127383448</c:v>
                </c:pt>
                <c:pt idx="18">
                  <c:v>0.24112654320987653</c:v>
                </c:pt>
                <c:pt idx="19">
                  <c:v>0.23323071182013244</c:v>
                </c:pt>
                <c:pt idx="20">
                  <c:v>0.22583559168925021</c:v>
                </c:pt>
                <c:pt idx="21">
                  <c:v>0.21889501794939148</c:v>
                </c:pt>
                <c:pt idx="22">
                  <c:v>0.21236833163438668</c:v>
                </c:pt>
                <c:pt idx="23">
                  <c:v>0.20621958261156478</c:v>
                </c:pt>
                <c:pt idx="24">
                  <c:v>0.20041686708353373</c:v>
                </c:pt>
                <c:pt idx="25">
                  <c:v>0.19493177387914229</c:v>
                </c:pt>
                <c:pt idx="26">
                  <c:v>0.18973891924711597</c:v>
                </c:pt>
                <c:pt idx="27">
                  <c:v>0.1848155540770311</c:v>
                </c:pt>
                <c:pt idx="28">
                  <c:v>0.1801412307248883</c:v>
                </c:pt>
                <c:pt idx="29">
                  <c:v>0.17569751915102957</c:v>
                </c:pt>
                <c:pt idx="30">
                  <c:v>0.1714677640603566</c:v>
                </c:pt>
                <c:pt idx="31">
                  <c:v>0.16743687629763579</c:v>
                </c:pt>
                <c:pt idx="32">
                  <c:v>0.16359115299044627</c:v>
                </c:pt>
                <c:pt idx="33">
                  <c:v>0.15991812192157615</c:v>
                </c:pt>
                <c:pt idx="34">
                  <c:v>0.15640640640640643</c:v>
                </c:pt>
                <c:pt idx="35">
                  <c:v>0.15304560759106212</c:v>
                </c:pt>
                <c:pt idx="36">
                  <c:v>0.14982620160613688</c:v>
                </c:pt>
                <c:pt idx="37">
                  <c:v>0.14673944943358574</c:v>
                </c:pt>
                <c:pt idx="38">
                  <c:v>0.14377731769036114</c:v>
                </c:pt>
                <c:pt idx="39">
                  <c:v>0.1409324088167315</c:v>
                </c:pt>
                <c:pt idx="40">
                  <c:v>0.13819789939192922</c:v>
                </c:pt>
                <c:pt idx="41">
                  <c:v>0.13556748549427902</c:v>
                </c:pt>
                <c:pt idx="42">
                  <c:v>0.13303533418475949</c:v>
                </c:pt>
                <c:pt idx="43">
                  <c:v>0.13059604032805724</c:v>
                </c:pt>
                <c:pt idx="44">
                  <c:v>0.1282445880783831</c:v>
                </c:pt>
                <c:pt idx="45">
                  <c:v>0.12597631645250693</c:v>
                </c:pt>
                <c:pt idx="46">
                  <c:v>0.12378688849277084</c:v>
                </c:pt>
                <c:pt idx="47">
                  <c:v>0.12167226359079183</c:v>
                </c:pt>
                <c:pt idx="48">
                  <c:v>0.11962867260024883</c:v>
                </c:pt>
                <c:pt idx="49">
                  <c:v>0.11765259541625489</c:v>
                </c:pt>
                <c:pt idx="50">
                  <c:v>0.11574074074074073</c:v>
                </c:pt>
              </c:numCache>
            </c:numRef>
          </c:yVal>
          <c:smooth val="1"/>
        </c:ser>
        <c:ser>
          <c:idx val="2"/>
          <c:order val="2"/>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Flyback_CCM_Calc!$R$4:$R$54</c:f>
              <c:numCache>
                <c:formatCode>0.0000</c:formatCode>
                <c:ptCount val="51"/>
                <c:pt idx="0">
                  <c:v>0.74074074074074081</c:v>
                </c:pt>
                <c:pt idx="1">
                  <c:v>0.681663258350375</c:v>
                </c:pt>
                <c:pt idx="2">
                  <c:v>0.63131313131313127</c:v>
                </c:pt>
                <c:pt idx="3">
                  <c:v>0.58788947677836567</c:v>
                </c:pt>
                <c:pt idx="4">
                  <c:v>0.55005500550054998</c:v>
                </c:pt>
                <c:pt idx="5">
                  <c:v>0.51679586563307489</c:v>
                </c:pt>
                <c:pt idx="6">
                  <c:v>0.48732943469785578</c:v>
                </c:pt>
                <c:pt idx="7">
                  <c:v>0.4610419548178884</c:v>
                </c:pt>
                <c:pt idx="8">
                  <c:v>0.43744531933508307</c:v>
                </c:pt>
                <c:pt idx="9">
                  <c:v>0.4161464835622139</c:v>
                </c:pt>
                <c:pt idx="10">
                  <c:v>0.3968253968253968</c:v>
                </c:pt>
                <c:pt idx="11">
                  <c:v>0.37921880925293899</c:v>
                </c:pt>
                <c:pt idx="12">
                  <c:v>0.36310820624546114</c:v>
                </c:pt>
                <c:pt idx="13">
                  <c:v>0.34831069313827928</c:v>
                </c:pt>
                <c:pt idx="14">
                  <c:v>0.33467202141900937</c:v>
                </c:pt>
                <c:pt idx="15">
                  <c:v>0.32206119162640895</c:v>
                </c:pt>
                <c:pt idx="16">
                  <c:v>0.31036623215394166</c:v>
                </c:pt>
                <c:pt idx="17">
                  <c:v>0.29949086552860138</c:v>
                </c:pt>
                <c:pt idx="18">
                  <c:v>0.28935185185185186</c:v>
                </c:pt>
                <c:pt idx="19">
                  <c:v>0.27987685418415892</c:v>
                </c:pt>
                <c:pt idx="20">
                  <c:v>0.27100271002710025</c:v>
                </c:pt>
                <c:pt idx="21">
                  <c:v>0.26267402153926978</c:v>
                </c:pt>
                <c:pt idx="22">
                  <c:v>0.254841997961264</c:v>
                </c:pt>
                <c:pt idx="23">
                  <c:v>0.24746349913387772</c:v>
                </c:pt>
                <c:pt idx="24">
                  <c:v>0.24050024050024049</c:v>
                </c:pt>
                <c:pt idx="25">
                  <c:v>0.23391812865497075</c:v>
                </c:pt>
                <c:pt idx="26">
                  <c:v>0.22768670309653916</c:v>
                </c:pt>
                <c:pt idx="27">
                  <c:v>0.22177866489243733</c:v>
                </c:pt>
                <c:pt idx="28">
                  <c:v>0.21616947686986598</c:v>
                </c:pt>
                <c:pt idx="29">
                  <c:v>0.21083702298123549</c:v>
                </c:pt>
                <c:pt idx="30">
                  <c:v>0.20576131687242794</c:v>
                </c:pt>
                <c:pt idx="31">
                  <c:v>0.20092425155716293</c:v>
                </c:pt>
                <c:pt idx="32">
                  <c:v>0.19630938358853553</c:v>
                </c:pt>
                <c:pt idx="33">
                  <c:v>0.19190174630589138</c:v>
                </c:pt>
                <c:pt idx="34">
                  <c:v>0.1876876876876877</c:v>
                </c:pt>
                <c:pt idx="35">
                  <c:v>0.18365472910927455</c:v>
                </c:pt>
                <c:pt idx="36">
                  <c:v>0.17979144192736426</c:v>
                </c:pt>
                <c:pt idx="37">
                  <c:v>0.17608733932030288</c:v>
                </c:pt>
                <c:pt idx="38">
                  <c:v>0.17253278122843338</c:v>
                </c:pt>
                <c:pt idx="39">
                  <c:v>0.16911889058007779</c:v>
                </c:pt>
                <c:pt idx="40">
                  <c:v>0.16583747927031506</c:v>
                </c:pt>
                <c:pt idx="41">
                  <c:v>0.16268098259313485</c:v>
                </c:pt>
                <c:pt idx="42">
                  <c:v>0.15964240102171137</c:v>
                </c:pt>
                <c:pt idx="43">
                  <c:v>0.15671524839366871</c:v>
                </c:pt>
                <c:pt idx="44">
                  <c:v>0.15389350569405971</c:v>
                </c:pt>
                <c:pt idx="45">
                  <c:v>0.15117157974300829</c:v>
                </c:pt>
                <c:pt idx="46">
                  <c:v>0.14854426619132499</c:v>
                </c:pt>
                <c:pt idx="47">
                  <c:v>0.14600671630895021</c:v>
                </c:pt>
                <c:pt idx="48">
                  <c:v>0.1435544071202986</c:v>
                </c:pt>
                <c:pt idx="49">
                  <c:v>0.14118311449950588</c:v>
                </c:pt>
                <c:pt idx="50">
                  <c:v>0.13888888888888887</c:v>
                </c:pt>
              </c:numCache>
            </c:numRef>
          </c:yVal>
          <c:smooth val="1"/>
        </c:ser>
        <c:ser>
          <c:idx val="3"/>
          <c:order val="3"/>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Flyback_DCM_Calc!$M$4:$M$54</c:f>
              <c:numCache>
                <c:formatCode>General</c:formatCode>
                <c:ptCount val="51"/>
                <c:pt idx="0">
                  <c:v>0.7407407407407407</c:v>
                </c:pt>
                <c:pt idx="1">
                  <c:v>0.68166325835037489</c:v>
                </c:pt>
                <c:pt idx="2">
                  <c:v>0.63131313131313127</c:v>
                </c:pt>
                <c:pt idx="3">
                  <c:v>0.58788947677836567</c:v>
                </c:pt>
                <c:pt idx="4">
                  <c:v>0.55005500550054998</c:v>
                </c:pt>
                <c:pt idx="5">
                  <c:v>0.51679586563307489</c:v>
                </c:pt>
                <c:pt idx="6">
                  <c:v>0.48732943469785578</c:v>
                </c:pt>
                <c:pt idx="7">
                  <c:v>0.46104195481788834</c:v>
                </c:pt>
                <c:pt idx="8">
                  <c:v>0.43744531933508302</c:v>
                </c:pt>
                <c:pt idx="9">
                  <c:v>0.41614648356221395</c:v>
                </c:pt>
                <c:pt idx="10">
                  <c:v>0.39682539682539675</c:v>
                </c:pt>
                <c:pt idx="11">
                  <c:v>0.37921880925293899</c:v>
                </c:pt>
                <c:pt idx="12">
                  <c:v>0.36310820624546114</c:v>
                </c:pt>
                <c:pt idx="13">
                  <c:v>0.34831069313827934</c:v>
                </c:pt>
                <c:pt idx="14">
                  <c:v>0.33467202141900937</c:v>
                </c:pt>
                <c:pt idx="15">
                  <c:v>0.322061191626409</c:v>
                </c:pt>
                <c:pt idx="16">
                  <c:v>0.3103662321539416</c:v>
                </c:pt>
                <c:pt idx="17">
                  <c:v>0.29949086552860138</c:v>
                </c:pt>
                <c:pt idx="18">
                  <c:v>0.28935185185185186</c:v>
                </c:pt>
                <c:pt idx="19">
                  <c:v>0.27987685418415897</c:v>
                </c:pt>
                <c:pt idx="20">
                  <c:v>0.27100271002710025</c:v>
                </c:pt>
                <c:pt idx="21">
                  <c:v>0.26267402153926978</c:v>
                </c:pt>
                <c:pt idx="22">
                  <c:v>0.254841997961264</c:v>
                </c:pt>
                <c:pt idx="23">
                  <c:v>0.24746349913387777</c:v>
                </c:pt>
                <c:pt idx="24">
                  <c:v>0.24050024050024049</c:v>
                </c:pt>
                <c:pt idx="25">
                  <c:v>0.23391812865497075</c:v>
                </c:pt>
                <c:pt idx="26">
                  <c:v>0.22768670309653916</c:v>
                </c:pt>
                <c:pt idx="27">
                  <c:v>0.2217786648924373</c:v>
                </c:pt>
                <c:pt idx="28">
                  <c:v>0.21616947686986596</c:v>
                </c:pt>
                <c:pt idx="29">
                  <c:v>0.21083702298123549</c:v>
                </c:pt>
                <c:pt idx="30">
                  <c:v>0.20576131687242796</c:v>
                </c:pt>
                <c:pt idx="31">
                  <c:v>0.20092425155716295</c:v>
                </c:pt>
                <c:pt idx="32">
                  <c:v>0.19630938358853553</c:v>
                </c:pt>
                <c:pt idx="33">
                  <c:v>0.19190174630589138</c:v>
                </c:pt>
                <c:pt idx="34">
                  <c:v>0.1876876876876877</c:v>
                </c:pt>
                <c:pt idx="35">
                  <c:v>0.18365472910927458</c:v>
                </c:pt>
                <c:pt idx="36">
                  <c:v>0.17979144192736426</c:v>
                </c:pt>
                <c:pt idx="37">
                  <c:v>0.17608733932030288</c:v>
                </c:pt>
                <c:pt idx="38">
                  <c:v>0.17253278122843338</c:v>
                </c:pt>
                <c:pt idx="39">
                  <c:v>0.16911889058007779</c:v>
                </c:pt>
                <c:pt idx="40">
                  <c:v>0.16583747927031506</c:v>
                </c:pt>
                <c:pt idx="41">
                  <c:v>0.16268098259313485</c:v>
                </c:pt>
                <c:pt idx="42">
                  <c:v>0.15964240102171137</c:v>
                </c:pt>
                <c:pt idx="43">
                  <c:v>0.15671524839366871</c:v>
                </c:pt>
                <c:pt idx="44">
                  <c:v>0.15389350569405968</c:v>
                </c:pt>
                <c:pt idx="45">
                  <c:v>0.15117157974300832</c:v>
                </c:pt>
                <c:pt idx="46">
                  <c:v>0.14854426619132502</c:v>
                </c:pt>
                <c:pt idx="47">
                  <c:v>0.14600671630895021</c:v>
                </c:pt>
                <c:pt idx="48">
                  <c:v>0.14355440712029857</c:v>
                </c:pt>
                <c:pt idx="49">
                  <c:v>0.14118311449950588</c:v>
                </c:pt>
                <c:pt idx="50">
                  <c:v>0.1388888888888889</c:v>
                </c:pt>
              </c:numCache>
            </c:numRef>
          </c:yVal>
          <c:smooth val="1"/>
        </c:ser>
        <c:dLbls>
          <c:showLegendKey val="0"/>
          <c:showVal val="0"/>
          <c:showCatName val="0"/>
          <c:showSerName val="0"/>
          <c:showPercent val="0"/>
          <c:showBubbleSize val="0"/>
        </c:dLbls>
        <c:axId val="181655040"/>
        <c:axId val="181656960"/>
      </c:scatterChart>
      <c:valAx>
        <c:axId val="18165504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1656960"/>
        <c:crosses val="autoZero"/>
        <c:crossBetween val="midCat"/>
      </c:valAx>
      <c:valAx>
        <c:axId val="181656960"/>
        <c:scaling>
          <c:orientation val="minMax"/>
        </c:scaling>
        <c:delete val="0"/>
        <c:axPos val="l"/>
        <c:majorGridlines/>
        <c:title>
          <c:tx>
            <c:rich>
              <a:bodyPr rot="-5400000" vert="horz"/>
              <a:lstStyle/>
              <a:p>
                <a:pPr>
                  <a:defRPr/>
                </a:pPr>
                <a:r>
                  <a:rPr lang="en-US"/>
                  <a:t>IIN (A)</a:t>
                </a:r>
              </a:p>
            </c:rich>
          </c:tx>
          <c:layout/>
          <c:overlay val="0"/>
        </c:title>
        <c:numFmt formatCode="General" sourceLinked="1"/>
        <c:majorTickMark val="out"/>
        <c:minorTickMark val="none"/>
        <c:tickLblPos val="nextTo"/>
        <c:crossAx val="18165504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Flyback_DCM_Calc!$S$4:$S$54</c:f>
              <c:numCache>
                <c:formatCode>0.000</c:formatCode>
                <c:ptCount val="51"/>
                <c:pt idx="0">
                  <c:v>1.4154708032657286</c:v>
                </c:pt>
                <c:pt idx="1">
                  <c:v>1.3578529588587065</c:v>
                </c:pt>
                <c:pt idx="2">
                  <c:v>1.3067430870876922</c:v>
                </c:pt>
                <c:pt idx="3">
                  <c:v>1.2610016159052517</c:v>
                </c:pt>
                <c:pt idx="4">
                  <c:v>1.2197500945853155</c:v>
                </c:pt>
                <c:pt idx="5">
                  <c:v>1.1822989808678703</c:v>
                </c:pt>
                <c:pt idx="6">
                  <c:v>1.1480984263743426</c:v>
                </c:pt>
                <c:pt idx="7">
                  <c:v>1.1167038769036002</c:v>
                </c:pt>
                <c:pt idx="8">
                  <c:v>1.0877514900350451</c:v>
                </c:pt>
                <c:pt idx="9">
                  <c:v>1.0609402218960899</c:v>
                </c:pt>
                <c:pt idx="10">
                  <c:v>1.0360185451226576</c:v>
                </c:pt>
                <c:pt idx="11">
                  <c:v>1.01277444640906</c:v>
                </c:pt>
                <c:pt idx="12">
                  <c:v>0.99102778766806454</c:v>
                </c:pt>
                <c:pt idx="13">
                  <c:v>0.97062439786909493</c:v>
                </c:pt>
                <c:pt idx="14">
                  <c:v>0.95143145045960709</c:v>
                </c:pt>
                <c:pt idx="15">
                  <c:v>0.9333338083352708</c:v>
                </c:pt>
                <c:pt idx="16">
                  <c:v>0.91623110578224654</c:v>
                </c:pt>
                <c:pt idx="17">
                  <c:v>0.90003539797812204</c:v>
                </c:pt>
                <c:pt idx="18">
                  <c:v>0.88466925204108038</c:v>
                </c:pt>
                <c:pt idx="19">
                  <c:v>0.87006418483329118</c:v>
                </c:pt>
                <c:pt idx="20">
                  <c:v>0.85615937545651788</c:v>
                </c:pt>
                <c:pt idx="21">
                  <c:v>0.84290059712305321</c:v>
                </c:pt>
                <c:pt idx="22">
                  <c:v>0.83023932555268187</c:v>
                </c:pt>
                <c:pt idx="23">
                  <c:v>0.81813199042209828</c:v>
                </c:pt>
                <c:pt idx="24">
                  <c:v>0.8065393435097461</c:v>
                </c:pt>
                <c:pt idx="25">
                  <c:v>0.79542592262809486</c:v>
                </c:pt>
                <c:pt idx="26">
                  <c:v>0.78475959464188649</c:v>
                </c:pt>
                <c:pt idx="27">
                  <c:v>0.77451116414326338</c:v>
                </c:pt>
                <c:pt idx="28">
                  <c:v>0.76465403691890577</c:v>
                </c:pt>
                <c:pt idx="29">
                  <c:v>0.75516392936737209</c:v>
                </c:pt>
                <c:pt idx="30">
                  <c:v>0.74601861663130065</c:v>
                </c:pt>
                <c:pt idx="31">
                  <c:v>0.73719771349263463</c:v>
                </c:pt>
                <c:pt idx="32">
                  <c:v>0.7286824831104266</c:v>
                </c:pt>
                <c:pt idx="33">
                  <c:v>0.7204556695142057</c:v>
                </c:pt>
                <c:pt idx="34">
                  <c:v>0.71250135044283958</c:v>
                </c:pt>
                <c:pt idx="35">
                  <c:v>0.70480480767145171</c:v>
                </c:pt>
                <c:pt idx="36">
                  <c:v>0.69735241242222634</c:v>
                </c:pt>
                <c:pt idx="37">
                  <c:v>0.69013152382840048</c:v>
                </c:pt>
                <c:pt idx="38">
                  <c:v>0.68313039872979253</c:v>
                </c:pt>
                <c:pt idx="39">
                  <c:v>0.67633811133502597</c:v>
                </c:pt>
                <c:pt idx="40">
                  <c:v>0.66974448149984112</c:v>
                </c:pt>
                <c:pt idx="41">
                  <c:v>0.6633400105502949</c:v>
                </c:pt>
                <c:pt idx="42">
                  <c:v>0.65711582373043187</c:v>
                </c:pt>
                <c:pt idx="43">
                  <c:v>0.65106361848118599</c:v>
                </c:pt>
                <c:pt idx="44">
                  <c:v>0.64517561786488753</c:v>
                </c:pt>
                <c:pt idx="45">
                  <c:v>0.639444528541115</c:v>
                </c:pt>
                <c:pt idx="46">
                  <c:v>0.63386350277744141</c:v>
                </c:pt>
                <c:pt idx="47">
                  <c:v>0.62842610404508292</c:v>
                </c:pt>
                <c:pt idx="48">
                  <c:v>0.6231262758063848</c:v>
                </c:pt>
                <c:pt idx="49">
                  <c:v>0.61795831314998928</c:v>
                </c:pt>
                <c:pt idx="50">
                  <c:v>0.61291683697164323</c:v>
                </c:pt>
              </c:numCache>
            </c:numRef>
          </c:yVal>
          <c:smooth val="1"/>
        </c:ser>
        <c:dLbls>
          <c:showLegendKey val="0"/>
          <c:showVal val="0"/>
          <c:showCatName val="0"/>
          <c:showSerName val="0"/>
          <c:showPercent val="0"/>
          <c:showBubbleSize val="0"/>
        </c:dLbls>
        <c:axId val="209600896"/>
        <c:axId val="209602816"/>
      </c:scatterChart>
      <c:valAx>
        <c:axId val="209600896"/>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9602816"/>
        <c:crosses val="autoZero"/>
        <c:crossBetween val="midCat"/>
      </c:valAx>
      <c:valAx>
        <c:axId val="209602816"/>
        <c:scaling>
          <c:orientation val="minMax"/>
        </c:scaling>
        <c:delete val="0"/>
        <c:axPos val="l"/>
        <c:majorGridlines/>
        <c:title>
          <c:tx>
            <c:rich>
              <a:bodyPr rot="-5400000" vert="horz"/>
              <a:lstStyle/>
              <a:p>
                <a:pPr>
                  <a:defRPr/>
                </a:pPr>
                <a:r>
                  <a:rPr lang="en-US"/>
                  <a:t>Primary RMS </a:t>
                </a:r>
                <a:r>
                  <a:rPr lang="en-US" baseline="0"/>
                  <a:t>Current (A)</a:t>
                </a:r>
                <a:endParaRPr lang="en-US"/>
              </a:p>
            </c:rich>
          </c:tx>
          <c:layout/>
          <c:overlay val="0"/>
        </c:title>
        <c:numFmt formatCode="General" sourceLinked="0"/>
        <c:majorTickMark val="out"/>
        <c:minorTickMark val="none"/>
        <c:tickLblPos val="nextTo"/>
        <c:crossAx val="209600896"/>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layout/>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Flyback_CCM_Calc!$CW$4:$CW$54</c:f>
              <c:numCache>
                <c:formatCode>General</c:formatCode>
                <c:ptCount val="51"/>
                <c:pt idx="0">
                  <c:v>17.488964346349746</c:v>
                </c:pt>
                <c:pt idx="1">
                  <c:v>18.268964346349748</c:v>
                </c:pt>
                <c:pt idx="2">
                  <c:v>19.048964346349749</c:v>
                </c:pt>
                <c:pt idx="3">
                  <c:v>19.828964346349746</c:v>
                </c:pt>
                <c:pt idx="4">
                  <c:v>20.608964346349747</c:v>
                </c:pt>
                <c:pt idx="5">
                  <c:v>21.388964346349745</c:v>
                </c:pt>
                <c:pt idx="6">
                  <c:v>22.168964346349746</c:v>
                </c:pt>
                <c:pt idx="7">
                  <c:v>22.948964346349747</c:v>
                </c:pt>
                <c:pt idx="8">
                  <c:v>23.728964346349748</c:v>
                </c:pt>
                <c:pt idx="9">
                  <c:v>24.508964346349746</c:v>
                </c:pt>
                <c:pt idx="10">
                  <c:v>25.288964346349747</c:v>
                </c:pt>
                <c:pt idx="11">
                  <c:v>26.068964346349745</c:v>
                </c:pt>
                <c:pt idx="12">
                  <c:v>26.848964346349746</c:v>
                </c:pt>
                <c:pt idx="13">
                  <c:v>27.628964346349747</c:v>
                </c:pt>
                <c:pt idx="14">
                  <c:v>28.408964346349748</c:v>
                </c:pt>
                <c:pt idx="15">
                  <c:v>29.188964346349749</c:v>
                </c:pt>
                <c:pt idx="16">
                  <c:v>29.968964346349747</c:v>
                </c:pt>
                <c:pt idx="17">
                  <c:v>30.748964346349744</c:v>
                </c:pt>
                <c:pt idx="18">
                  <c:v>31.528964346349746</c:v>
                </c:pt>
                <c:pt idx="19">
                  <c:v>32.308964346349747</c:v>
                </c:pt>
                <c:pt idx="20">
                  <c:v>33.088964346349748</c:v>
                </c:pt>
                <c:pt idx="21">
                  <c:v>33.868964346349742</c:v>
                </c:pt>
                <c:pt idx="22">
                  <c:v>34.648964346349743</c:v>
                </c:pt>
                <c:pt idx="23">
                  <c:v>35.428964346349744</c:v>
                </c:pt>
                <c:pt idx="24">
                  <c:v>36.208964346349745</c:v>
                </c:pt>
                <c:pt idx="25">
                  <c:v>36.988964346349746</c:v>
                </c:pt>
                <c:pt idx="26">
                  <c:v>37.768964346349748</c:v>
                </c:pt>
                <c:pt idx="27">
                  <c:v>38.548964346349749</c:v>
                </c:pt>
                <c:pt idx="28">
                  <c:v>39.32896434634975</c:v>
                </c:pt>
                <c:pt idx="29">
                  <c:v>40.108964346349751</c:v>
                </c:pt>
                <c:pt idx="30">
                  <c:v>40.888964346349752</c:v>
                </c:pt>
                <c:pt idx="31">
                  <c:v>41.668964346349746</c:v>
                </c:pt>
                <c:pt idx="32">
                  <c:v>42.448964346349747</c:v>
                </c:pt>
                <c:pt idx="33">
                  <c:v>43.228964346349748</c:v>
                </c:pt>
                <c:pt idx="34">
                  <c:v>44.008964346349742</c:v>
                </c:pt>
                <c:pt idx="35">
                  <c:v>44.788964346349744</c:v>
                </c:pt>
                <c:pt idx="36">
                  <c:v>45.568964346349745</c:v>
                </c:pt>
                <c:pt idx="37">
                  <c:v>46.348964346349746</c:v>
                </c:pt>
                <c:pt idx="38">
                  <c:v>47.128964346349747</c:v>
                </c:pt>
                <c:pt idx="39">
                  <c:v>47.908964346349748</c:v>
                </c:pt>
                <c:pt idx="40">
                  <c:v>48.688964346349749</c:v>
                </c:pt>
                <c:pt idx="41">
                  <c:v>49.46896434634975</c:v>
                </c:pt>
                <c:pt idx="42">
                  <c:v>50.248964346349744</c:v>
                </c:pt>
                <c:pt idx="43">
                  <c:v>51.028964346349746</c:v>
                </c:pt>
                <c:pt idx="44">
                  <c:v>51.808964346349747</c:v>
                </c:pt>
                <c:pt idx="45">
                  <c:v>52.588964346349748</c:v>
                </c:pt>
                <c:pt idx="46">
                  <c:v>53.368964346349749</c:v>
                </c:pt>
                <c:pt idx="47">
                  <c:v>54.14896434634975</c:v>
                </c:pt>
                <c:pt idx="48">
                  <c:v>54.928964346349744</c:v>
                </c:pt>
                <c:pt idx="49">
                  <c:v>55.708964346349745</c:v>
                </c:pt>
                <c:pt idx="50">
                  <c:v>56.488964346349746</c:v>
                </c:pt>
              </c:numCache>
            </c:numRef>
          </c:yVal>
          <c:smooth val="1"/>
        </c:ser>
        <c:ser>
          <c:idx val="0"/>
          <c:order val="1"/>
          <c:tx>
            <c:v>Buck Derived</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'Fly-Buck_Calc'!$CV$4:$CV$54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yVal>
          <c:smooth val="1"/>
        </c:ser>
        <c:dLbls>
          <c:showLegendKey val="0"/>
          <c:showVal val="0"/>
          <c:showCatName val="0"/>
          <c:showSerName val="0"/>
          <c:showPercent val="0"/>
          <c:showBubbleSize val="0"/>
        </c:dLbls>
        <c:axId val="209640832"/>
        <c:axId val="209643008"/>
      </c:scatterChart>
      <c:valAx>
        <c:axId val="209640832"/>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09643008"/>
        <c:crosses val="autoZero"/>
        <c:crossBetween val="midCat"/>
      </c:valAx>
      <c:valAx>
        <c:axId val="209643008"/>
        <c:scaling>
          <c:orientation val="minMax"/>
        </c:scaling>
        <c:delete val="0"/>
        <c:axPos val="l"/>
        <c:majorGridlines/>
        <c:title>
          <c:tx>
            <c:rich>
              <a:bodyPr rot="-5400000" vert="horz"/>
              <a:lstStyle/>
              <a:p>
                <a:pPr>
                  <a:defRPr/>
                </a:pPr>
                <a:r>
                  <a:rPr lang="en-US"/>
                  <a:t>Switch</a:t>
                </a:r>
                <a:r>
                  <a:rPr lang="en-US" baseline="0"/>
                  <a:t> Node Voltage (V)</a:t>
                </a:r>
                <a:endParaRPr lang="en-US"/>
              </a:p>
            </c:rich>
          </c:tx>
          <c:layout/>
          <c:overlay val="0"/>
        </c:title>
        <c:numFmt formatCode="General" sourceLinked="1"/>
        <c:majorTickMark val="out"/>
        <c:minorTickMark val="none"/>
        <c:tickLblPos val="nextTo"/>
        <c:crossAx val="209640832"/>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layout/>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'Fly-Buck_Calc'!$CV$4:$CV$54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yVal>
          <c:smooth val="1"/>
        </c:ser>
        <c:ser>
          <c:idx val="2"/>
          <c:order val="1"/>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Flyback_DCM_Calc!$DA$4:$DA$54</c:f>
              <c:numCache>
                <c:formatCode>General</c:formatCode>
                <c:ptCount val="51"/>
                <c:pt idx="0">
                  <c:v>634.66021323437087</c:v>
                </c:pt>
                <c:pt idx="1">
                  <c:v>635.44021323437084</c:v>
                </c:pt>
                <c:pt idx="2">
                  <c:v>636.22021323437082</c:v>
                </c:pt>
                <c:pt idx="3">
                  <c:v>637.0002132343709</c:v>
                </c:pt>
                <c:pt idx="4">
                  <c:v>637.78021323437088</c:v>
                </c:pt>
                <c:pt idx="5">
                  <c:v>638.56021323437085</c:v>
                </c:pt>
                <c:pt idx="6">
                  <c:v>639.34021323437082</c:v>
                </c:pt>
                <c:pt idx="7">
                  <c:v>640.12021323437091</c:v>
                </c:pt>
                <c:pt idx="8">
                  <c:v>640.90021323437088</c:v>
                </c:pt>
                <c:pt idx="9">
                  <c:v>641.68021323437074</c:v>
                </c:pt>
                <c:pt idx="10">
                  <c:v>642.46021323437083</c:v>
                </c:pt>
                <c:pt idx="11">
                  <c:v>643.24021323437091</c:v>
                </c:pt>
                <c:pt idx="12">
                  <c:v>644.02021323437089</c:v>
                </c:pt>
                <c:pt idx="13">
                  <c:v>644.80021323437086</c:v>
                </c:pt>
                <c:pt idx="14">
                  <c:v>645.58021323437083</c:v>
                </c:pt>
                <c:pt idx="15">
                  <c:v>646.3602132343708</c:v>
                </c:pt>
                <c:pt idx="16">
                  <c:v>647.14021323437089</c:v>
                </c:pt>
                <c:pt idx="17">
                  <c:v>647.92021323437086</c:v>
                </c:pt>
                <c:pt idx="18">
                  <c:v>648.70021323437084</c:v>
                </c:pt>
                <c:pt idx="19">
                  <c:v>649.48021323437081</c:v>
                </c:pt>
                <c:pt idx="20">
                  <c:v>650.26021323437078</c:v>
                </c:pt>
                <c:pt idx="21">
                  <c:v>651.04021323437087</c:v>
                </c:pt>
                <c:pt idx="22">
                  <c:v>651.82021323437084</c:v>
                </c:pt>
                <c:pt idx="23">
                  <c:v>652.60021323437081</c:v>
                </c:pt>
                <c:pt idx="24">
                  <c:v>653.3802132343709</c:v>
                </c:pt>
                <c:pt idx="25">
                  <c:v>654.16021323437087</c:v>
                </c:pt>
                <c:pt idx="26">
                  <c:v>654.94021323437084</c:v>
                </c:pt>
                <c:pt idx="27">
                  <c:v>655.72021323437093</c:v>
                </c:pt>
                <c:pt idx="28">
                  <c:v>656.5002132343709</c:v>
                </c:pt>
                <c:pt idx="29">
                  <c:v>657.28021323437088</c:v>
                </c:pt>
                <c:pt idx="30">
                  <c:v>658.06021323437074</c:v>
                </c:pt>
                <c:pt idx="31">
                  <c:v>658.84021323437082</c:v>
                </c:pt>
                <c:pt idx="32">
                  <c:v>659.62021323437091</c:v>
                </c:pt>
                <c:pt idx="33">
                  <c:v>660.40021323437088</c:v>
                </c:pt>
                <c:pt idx="34">
                  <c:v>661.18021323437085</c:v>
                </c:pt>
                <c:pt idx="35">
                  <c:v>661.96021323437083</c:v>
                </c:pt>
                <c:pt idx="36">
                  <c:v>662.74021323437091</c:v>
                </c:pt>
                <c:pt idx="37">
                  <c:v>663.52021323437089</c:v>
                </c:pt>
                <c:pt idx="38">
                  <c:v>664.30021323437086</c:v>
                </c:pt>
                <c:pt idx="39">
                  <c:v>665.08021323437083</c:v>
                </c:pt>
                <c:pt idx="40">
                  <c:v>665.86021323437092</c:v>
                </c:pt>
                <c:pt idx="41">
                  <c:v>666.64021323437089</c:v>
                </c:pt>
                <c:pt idx="42">
                  <c:v>667.42021323437086</c:v>
                </c:pt>
                <c:pt idx="43">
                  <c:v>668.20021323437084</c:v>
                </c:pt>
                <c:pt idx="44">
                  <c:v>668.98021323437092</c:v>
                </c:pt>
                <c:pt idx="45">
                  <c:v>669.76021323437089</c:v>
                </c:pt>
                <c:pt idx="46">
                  <c:v>670.54021323437087</c:v>
                </c:pt>
                <c:pt idx="47">
                  <c:v>671.32021323437084</c:v>
                </c:pt>
                <c:pt idx="48">
                  <c:v>672.10021323437081</c:v>
                </c:pt>
                <c:pt idx="49">
                  <c:v>672.88021323437079</c:v>
                </c:pt>
                <c:pt idx="50">
                  <c:v>673.66021323437087</c:v>
                </c:pt>
              </c:numCache>
            </c:numRef>
          </c:yVal>
          <c:smooth val="1"/>
        </c:ser>
        <c:dLbls>
          <c:showLegendKey val="0"/>
          <c:showVal val="0"/>
          <c:showCatName val="0"/>
          <c:showSerName val="0"/>
          <c:showPercent val="0"/>
          <c:showBubbleSize val="0"/>
        </c:dLbls>
        <c:axId val="209533952"/>
        <c:axId val="209552512"/>
      </c:scatterChart>
      <c:valAx>
        <c:axId val="209533952"/>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209552512"/>
        <c:crosses val="autoZero"/>
        <c:crossBetween val="midCat"/>
      </c:valAx>
      <c:valAx>
        <c:axId val="209552512"/>
        <c:scaling>
          <c:orientation val="minMax"/>
        </c:scaling>
        <c:delete val="0"/>
        <c:axPos val="l"/>
        <c:majorGridlines/>
        <c:title>
          <c:tx>
            <c:rich>
              <a:bodyPr rot="-5400000" vert="horz"/>
              <a:lstStyle/>
              <a:p>
                <a:pPr>
                  <a:defRPr/>
                </a:pPr>
                <a:r>
                  <a:rPr lang="en-US"/>
                  <a:t>Switch</a:t>
                </a:r>
                <a:r>
                  <a:rPr lang="en-US" baseline="0"/>
                  <a:t> Node Voltage (V)</a:t>
                </a:r>
                <a:endParaRPr lang="en-US"/>
              </a:p>
            </c:rich>
          </c:tx>
          <c:layout/>
          <c:overlay val="0"/>
        </c:title>
        <c:numFmt formatCode="General" sourceLinked="1"/>
        <c:majorTickMark val="out"/>
        <c:minorTickMark val="none"/>
        <c:tickLblPos val="nextTo"/>
        <c:crossAx val="209533952"/>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layout/>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1"/>
          <c:order val="0"/>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Flyback_DCM_Calc!$CV$4:$CV$54</c:f>
              <c:numCache>
                <c:formatCode>##0.0E+0</c:formatCode>
                <c:ptCount val="51"/>
                <c:pt idx="0">
                  <c:v>0.74529018002456127</c:v>
                </c:pt>
                <c:pt idx="1">
                  <c:v>0.74474079511818025</c:v>
                </c:pt>
                <c:pt idx="2">
                  <c:v>0.74418265855737609</c:v>
                </c:pt>
                <c:pt idx="3">
                  <c:v>0.74361555954349068</c:v>
                </c:pt>
                <c:pt idx="4">
                  <c:v>0.74303928045313916</c:v>
                </c:pt>
                <c:pt idx="5">
                  <c:v>0.74245359655976362</c:v>
                </c:pt>
                <c:pt idx="6">
                  <c:v>0.74185827574144148</c:v>
                </c:pt>
                <c:pt idx="7">
                  <c:v>0.74125307817415131</c:v>
                </c:pt>
                <c:pt idx="8">
                  <c:v>0.74063775600964332</c:v>
                </c:pt>
                <c:pt idx="9">
                  <c:v>0.74001205303700768</c:v>
                </c:pt>
                <c:pt idx="10">
                  <c:v>0.73937570432696809</c:v>
                </c:pt>
                <c:pt idx="11">
                  <c:v>0.73872843585786152</c:v>
                </c:pt>
                <c:pt idx="12">
                  <c:v>0.73806996412220105</c:v>
                </c:pt>
                <c:pt idx="13">
                  <c:v>0.73739999571262671</c:v>
                </c:pt>
                <c:pt idx="14">
                  <c:v>0.73671822688598021</c:v>
                </c:pt>
                <c:pt idx="15">
                  <c:v>0.73602434310413956</c:v>
                </c:pt>
                <c:pt idx="16">
                  <c:v>0.73531801855015844</c:v>
                </c:pt>
                <c:pt idx="17">
                  <c:v>0.73459891561813928</c:v>
                </c:pt>
                <c:pt idx="18">
                  <c:v>0.73386668437517422</c:v>
                </c:pt>
                <c:pt idx="19">
                  <c:v>0.73312096199353904</c:v>
                </c:pt>
                <c:pt idx="20">
                  <c:v>0.73236137215121466</c:v>
                </c:pt>
                <c:pt idx="21">
                  <c:v>0.73158752439864783</c:v>
                </c:pt>
                <c:pt idx="22">
                  <c:v>0.73079901348951615</c:v>
                </c:pt>
                <c:pt idx="23">
                  <c:v>0.72999541867308859</c:v>
                </c:pt>
                <c:pt idx="24">
                  <c:v>0.72917630294558189</c:v>
                </c:pt>
                <c:pt idx="25">
                  <c:v>0.72834121225771187</c:v>
                </c:pt>
                <c:pt idx="26">
                  <c:v>0.72748967467543002</c:v>
                </c:pt>
                <c:pt idx="27">
                  <c:v>0.72662119949057458</c:v>
                </c:pt>
                <c:pt idx="28">
                  <c:v>0.72573527627792145</c:v>
                </c:pt>
                <c:pt idx="29">
                  <c:v>0.72483137389482555</c:v>
                </c:pt>
                <c:pt idx="30">
                  <c:v>0.72390893941933276</c:v>
                </c:pt>
                <c:pt idx="31">
                  <c:v>0.7229673970223035</c:v>
                </c:pt>
                <c:pt idx="32">
                  <c:v>0.72200614676870778</c:v>
                </c:pt>
                <c:pt idx="33">
                  <c:v>0.72102456334285792</c:v>
                </c:pt>
                <c:pt idx="34">
                  <c:v>0.720021994691878</c:v>
                </c:pt>
                <c:pt idx="35">
                  <c:v>0.71899776058122988</c:v>
                </c:pt>
                <c:pt idx="36">
                  <c:v>0.71795115105557283</c:v>
                </c:pt>
                <c:pt idx="37">
                  <c:v>0.7168814247976355</c:v>
                </c:pt>
                <c:pt idx="38">
                  <c:v>0.71578780737713044</c:v>
                </c:pt>
                <c:pt idx="39">
                  <c:v>0.71466948938101771</c:v>
                </c:pt>
                <c:pt idx="40">
                  <c:v>0.7135256244156305</c:v>
                </c:pt>
                <c:pt idx="41">
                  <c:v>0.71235532697030124</c:v>
                </c:pt>
                <c:pt idx="42">
                  <c:v>0.71115767013115239</c:v>
                </c:pt>
                <c:pt idx="43">
                  <c:v>0.70993168313265098</c:v>
                </c:pt>
                <c:pt idx="44">
                  <c:v>0.70867634873333007</c:v>
                </c:pt>
                <c:pt idx="45">
                  <c:v>0.70739060040077051</c:v>
                </c:pt>
                <c:pt idx="46">
                  <c:v>0.70607331928946815</c:v>
                </c:pt>
                <c:pt idx="47">
                  <c:v>0.70472333099358919</c:v>
                </c:pt>
                <c:pt idx="48">
                  <c:v>0.70333940205480405</c:v>
                </c:pt>
                <c:pt idx="49">
                  <c:v>0.70192023620337407</c:v>
                </c:pt>
                <c:pt idx="50">
                  <c:v>0.70046447030841341</c:v>
                </c:pt>
              </c:numCache>
            </c:numRef>
          </c:yVal>
          <c:smooth val="1"/>
        </c:ser>
        <c:dLbls>
          <c:showLegendKey val="0"/>
          <c:showVal val="0"/>
          <c:showCatName val="0"/>
          <c:showSerName val="0"/>
          <c:showPercent val="0"/>
          <c:showBubbleSize val="0"/>
        </c:dLbls>
        <c:axId val="209573376"/>
        <c:axId val="209575296"/>
      </c:scatterChart>
      <c:valAx>
        <c:axId val="209573376"/>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09575296"/>
        <c:crosses val="autoZero"/>
        <c:crossBetween val="midCat"/>
      </c:valAx>
      <c:valAx>
        <c:axId val="209575296"/>
        <c:scaling>
          <c:orientation val="minMax"/>
        </c:scaling>
        <c:delete val="0"/>
        <c:axPos val="l"/>
        <c:majorGridlines/>
        <c:title>
          <c:tx>
            <c:rich>
              <a:bodyPr rot="-5400000" vert="horz"/>
              <a:lstStyle/>
              <a:p>
                <a:pPr>
                  <a:defRPr/>
                </a:pPr>
                <a:r>
                  <a:rPr lang="en-US"/>
                  <a:t>Clamp</a:t>
                </a:r>
                <a:r>
                  <a:rPr lang="en-US" baseline="0"/>
                  <a:t> Power (W)</a:t>
                </a:r>
                <a:endParaRPr lang="en-US"/>
              </a:p>
            </c:rich>
          </c:tx>
          <c:layout/>
          <c:overlay val="0"/>
        </c:title>
        <c:numFmt formatCode="##0.000E+0" sourceLinked="0"/>
        <c:majorTickMark val="out"/>
        <c:minorTickMark val="none"/>
        <c:tickLblPos val="nextTo"/>
        <c:crossAx val="209573376"/>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Full</a:t>
            </a:r>
            <a:r>
              <a:rPr lang="en-US" baseline="0"/>
              <a:t> Load Efficiency vs VIN</a:t>
            </a:r>
            <a:endParaRPr lang="en-US"/>
          </a:p>
        </c:rich>
      </c:tx>
      <c:layout/>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Flyback_DCM_Calc!$CY$4:$CY$54</c:f>
              <c:numCache>
                <c:formatCode>##0.0E+0</c:formatCode>
                <c:ptCount val="51"/>
                <c:pt idx="0">
                  <c:v>0.82564537729513965</c:v>
                </c:pt>
                <c:pt idx="1">
                  <c:v>0.8264245782454086</c:v>
                </c:pt>
                <c:pt idx="2">
                  <c:v>0.8270529711907938</c:v>
                </c:pt>
                <c:pt idx="3">
                  <c:v>0.82757061291939904</c:v>
                </c:pt>
                <c:pt idx="4">
                  <c:v>0.82800519824025587</c:v>
                </c:pt>
                <c:pt idx="5">
                  <c:v>0.8283763700858795</c:v>
                </c:pt>
                <c:pt idx="6">
                  <c:v>0.82869837451369244</c:v>
                </c:pt>
                <c:pt idx="7">
                  <c:v>0.82898174856231244</c:v>
                </c:pt>
                <c:pt idx="8">
                  <c:v>0.82923442336735498</c:v>
                </c:pt>
                <c:pt idx="9">
                  <c:v>0.82946246297546866</c:v>
                </c:pt>
                <c:pt idx="10">
                  <c:v>0.82967057007485889</c:v>
                </c:pt>
                <c:pt idx="11">
                  <c:v>0.82986243901233581</c:v>
                </c:pt>
                <c:pt idx="12">
                  <c:v>0.83004100659619118</c:v>
                </c:pt>
                <c:pt idx="13">
                  <c:v>0.83020863315338489</c:v>
                </c:pt>
                <c:pt idx="14">
                  <c:v>0.83036723515560273</c:v>
                </c:pt>
                <c:pt idx="15">
                  <c:v>0.83051838367390107</c:v>
                </c:pt>
                <c:pt idx="16">
                  <c:v>0.83066337836825177</c:v>
                </c:pt>
                <c:pt idx="17">
                  <c:v>0.83080330372449829</c:v>
                </c:pt>
                <c:pt idx="18">
                  <c:v>0.83093907224909791</c:v>
                </c:pt>
                <c:pt idx="19">
                  <c:v>0.83107145797194415</c:v>
                </c:pt>
                <c:pt idx="20">
                  <c:v>0.83120112267014967</c:v>
                </c:pt>
                <c:pt idx="21">
                  <c:v>0.83132863657085776</c:v>
                </c:pt>
                <c:pt idx="22">
                  <c:v>0.83145449482796918</c:v>
                </c:pt>
                <c:pt idx="23">
                  <c:v>0.83157913073622913</c:v>
                </c:pt>
                <c:pt idx="24">
                  <c:v>0.83170292640633992</c:v>
                </c:pt>
                <c:pt idx="25">
                  <c:v>0.83182622144952301</c:v>
                </c:pt>
                <c:pt idx="26">
                  <c:v>0.83194932009065881</c:v>
                </c:pt>
                <c:pt idx="27">
                  <c:v>0.83207249703286401</c:v>
                </c:pt>
                <c:pt idx="28">
                  <c:v>0.83219600232409974</c:v>
                </c:pt>
                <c:pt idx="29">
                  <c:v>0.83232006542169645</c:v>
                </c:pt>
                <c:pt idx="30">
                  <c:v>0.83244489860898407</c:v>
                </c:pt>
                <c:pt idx="31">
                  <c:v>0.83257069988618571</c:v>
                </c:pt>
                <c:pt idx="32">
                  <c:v>0.8326976554329798</c:v>
                </c:pt>
                <c:pt idx="33">
                  <c:v>0.83282594172087832</c:v>
                </c:pt>
                <c:pt idx="34">
                  <c:v>0.83295572733850809</c:v>
                </c:pt>
                <c:pt idx="35">
                  <c:v>0.8330871745810231</c:v>
                </c:pt>
                <c:pt idx="36">
                  <c:v>0.83322044084551494</c:v>
                </c:pt>
                <c:pt idx="37">
                  <c:v>0.83335567986684045</c:v>
                </c:pt>
                <c:pt idx="38">
                  <c:v>0.83349304282235459</c:v>
                </c:pt>
                <c:pt idx="39">
                  <c:v>0.8336326793292882</c:v>
                </c:pt>
                <c:pt idx="40">
                  <c:v>0.83377473835469651</c:v>
                </c:pt>
                <c:pt idx="41">
                  <c:v>0.8339193690548462</c:v>
                </c:pt>
                <c:pt idx="42">
                  <c:v>0.83406672155843775</c:v>
                </c:pt>
                <c:pt idx="43">
                  <c:v>0.83421694770608423</c:v>
                </c:pt>
                <c:pt idx="44">
                  <c:v>0.83437020175687282</c:v>
                </c:pt>
                <c:pt idx="45">
                  <c:v>0.83452664107157104</c:v>
                </c:pt>
                <c:pt idx="46">
                  <c:v>0.83468642678103722</c:v>
                </c:pt>
                <c:pt idx="47">
                  <c:v>0.83484972444761552</c:v>
                </c:pt>
                <c:pt idx="48">
                  <c:v>0.83501670472670475</c:v>
                </c:pt>
                <c:pt idx="49">
                  <c:v>0.83518754403526085</c:v>
                </c:pt>
                <c:pt idx="50">
                  <c:v>0.83536242523370885</c:v>
                </c:pt>
              </c:numCache>
            </c:numRef>
          </c:yVal>
          <c:smooth val="1"/>
        </c:ser>
        <c:dLbls>
          <c:showLegendKey val="0"/>
          <c:showVal val="0"/>
          <c:showCatName val="0"/>
          <c:showSerName val="0"/>
          <c:showPercent val="0"/>
          <c:showBubbleSize val="0"/>
        </c:dLbls>
        <c:axId val="209936384"/>
        <c:axId val="209938304"/>
      </c:scatterChart>
      <c:valAx>
        <c:axId val="209936384"/>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09938304"/>
        <c:crosses val="autoZero"/>
        <c:crossBetween val="midCat"/>
      </c:valAx>
      <c:valAx>
        <c:axId val="209938304"/>
        <c:scaling>
          <c:orientation val="minMax"/>
        </c:scaling>
        <c:delete val="0"/>
        <c:axPos val="l"/>
        <c:majorGridlines/>
        <c:title>
          <c:tx>
            <c:rich>
              <a:bodyPr rot="-5400000" vert="horz"/>
              <a:lstStyle/>
              <a:p>
                <a:pPr>
                  <a:defRPr/>
                </a:pPr>
                <a:r>
                  <a:rPr lang="en-US"/>
                  <a:t>Efficiency</a:t>
                </a:r>
                <a:r>
                  <a:rPr lang="en-US" baseline="0"/>
                  <a:t> (%)</a:t>
                </a:r>
                <a:endParaRPr lang="en-US"/>
              </a:p>
            </c:rich>
          </c:tx>
          <c:layout/>
          <c:overlay val="0"/>
        </c:title>
        <c:numFmt formatCode="0.0%" sourceLinked="0"/>
        <c:majorTickMark val="out"/>
        <c:minorTickMark val="none"/>
        <c:tickLblPos val="nextTo"/>
        <c:crossAx val="209936384"/>
        <c:crosses val="autoZero"/>
        <c:crossBetween val="midCat"/>
      </c:valAx>
    </c:plotArea>
    <c:legend>
      <c:legendPos val="r"/>
      <c:layout>
        <c:manualLayout>
          <c:xMode val="edge"/>
          <c:yMode val="edge"/>
          <c:x val="0.17491666666666675"/>
          <c:y val="0.19256954188322781"/>
          <c:w val="0.13897222222222222"/>
          <c:h val="0.1620877104324823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Converter Losses</a:t>
            </a:r>
            <a:endParaRPr lang="en-US">
              <a:effectLst/>
            </a:endParaRPr>
          </a:p>
        </c:rich>
      </c:tx>
      <c:layout/>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Transformer</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Flyback_DCM_Calc!$CI$4:$CI$54</c:f>
              <c:numCache>
                <c:formatCode>General</c:formatCode>
                <c:ptCount val="51"/>
                <c:pt idx="0">
                  <c:v>4.3508779149519894E-2</c:v>
                </c:pt>
                <c:pt idx="1">
                  <c:v>3.7626535844939503E-2</c:v>
                </c:pt>
                <c:pt idx="2">
                  <c:v>3.2998938883787368E-2</c:v>
                </c:pt>
                <c:pt idx="3">
                  <c:v>2.9292982583471835E-2</c:v>
                </c:pt>
                <c:pt idx="4">
                  <c:v>2.6279235635334703E-2</c:v>
                </c:pt>
                <c:pt idx="5">
                  <c:v>2.3795457671480745E-2</c:v>
                </c:pt>
                <c:pt idx="6">
                  <c:v>2.1724298454605214E-2</c:v>
                </c:pt>
                <c:pt idx="7">
                  <c:v>1.9979177887160984E-2</c:v>
                </c:pt>
                <c:pt idx="8">
                  <c:v>1.8495088518572091E-2</c:v>
                </c:pt>
                <c:pt idx="9">
                  <c:v>1.722245270468372E-2</c:v>
                </c:pt>
                <c:pt idx="10">
                  <c:v>1.6122927689594353E-2</c:v>
                </c:pt>
                <c:pt idx="11">
                  <c:v>1.5166483370385186E-2</c:v>
                </c:pt>
                <c:pt idx="12">
                  <c:v>1.4329329860995745E-2</c:v>
                </c:pt>
                <c:pt idx="13">
                  <c:v>1.3592423726812802E-2</c:v>
                </c:pt>
                <c:pt idx="14">
                  <c:v>1.2940375334448011E-2</c:v>
                </c:pt>
                <c:pt idx="15">
                  <c:v>1.2360638780627578E-2</c:v>
                </c:pt>
                <c:pt idx="16">
                  <c:v>1.1842903864300407E-2</c:v>
                </c:pt>
                <c:pt idx="17">
                  <c:v>1.1378634497454956E-2</c:v>
                </c:pt>
                <c:pt idx="18">
                  <c:v>1.0960714591906723E-2</c:v>
                </c:pt>
                <c:pt idx="19">
                  <c:v>1.058317374556147E-2</c:v>
                </c:pt>
                <c:pt idx="20">
                  <c:v>1.0240972818942281E-2</c:v>
                </c:pt>
                <c:pt idx="21">
                  <c:v>9.9298349114128933E-3</c:v>
                </c:pt>
                <c:pt idx="22">
                  <c:v>9.6461110747422217E-3</c:v>
                </c:pt>
                <c:pt idx="23">
                  <c:v>9.3866728382507904E-3</c:v>
                </c:pt>
                <c:pt idx="24">
                  <c:v>9.1488255976471464E-3</c:v>
                </c:pt>
                <c:pt idx="25">
                  <c:v>8.9302383639410406E-3</c:v>
                </c:pt>
                <c:pt idx="26">
                  <c:v>8.7288864336880108E-3</c:v>
                </c:pt>
                <c:pt idx="27">
                  <c:v>8.5430043341030402E-3</c:v>
                </c:pt>
                <c:pt idx="28">
                  <c:v>8.3710469911134067E-3</c:v>
                </c:pt>
                <c:pt idx="29">
                  <c:v>8.2116575181713017E-3</c:v>
                </c:pt>
                <c:pt idx="30">
                  <c:v>8.0636403664753002E-3</c:v>
                </c:pt>
                <c:pt idx="31">
                  <c:v>7.9259388404664278E-3</c:v>
                </c:pt>
                <c:pt idx="32">
                  <c:v>7.7976161859437563E-3</c:v>
                </c:pt>
                <c:pt idx="33">
                  <c:v>7.6778396164675503E-3</c:v>
                </c:pt>
                <c:pt idx="34">
                  <c:v>7.5658667676685712E-3</c:v>
                </c:pt>
                <c:pt idx="35">
                  <c:v>7.4610341666940727E-3</c:v>
                </c:pt>
                <c:pt idx="36">
                  <c:v>7.3627473813224565E-3</c:v>
                </c:pt>
                <c:pt idx="37">
                  <c:v>7.2704725748232437E-3</c:v>
                </c:pt>
                <c:pt idx="38">
                  <c:v>7.1837292418892923E-3</c:v>
                </c:pt>
                <c:pt idx="39">
                  <c:v>7.1020839405725429E-3</c:v>
                </c:pt>
                <c:pt idx="40">
                  <c:v>7.0251448671512532E-3</c:v>
                </c:pt>
                <c:pt idx="41">
                  <c:v>6.9525571468227491E-3</c:v>
                </c:pt>
                <c:pt idx="42">
                  <c:v>6.8839987342783843E-3</c:v>
                </c:pt>
                <c:pt idx="43">
                  <c:v>6.8191768355362501E-3</c:v>
                </c:pt>
                <c:pt idx="44">
                  <c:v>6.7578247766365311E-3</c:v>
                </c:pt>
                <c:pt idx="45">
                  <c:v>6.6996992565397711E-3</c:v>
                </c:pt>
                <c:pt idx="46">
                  <c:v>6.644577931282346E-3</c:v>
                </c:pt>
                <c:pt idx="47">
                  <c:v>6.5922572845125591E-3</c:v>
                </c:pt>
                <c:pt idx="48">
                  <c:v>6.5425507462562307E-3</c:v>
                </c:pt>
                <c:pt idx="49">
                  <c:v>6.4952870273846412E-3</c:v>
                </c:pt>
                <c:pt idx="50">
                  <c:v>6.4503086419753089E-3</c:v>
                </c:pt>
              </c:numCache>
            </c:numRef>
          </c:yVal>
          <c:smooth val="1"/>
        </c:ser>
        <c:ser>
          <c:idx val="0"/>
          <c:order val="1"/>
          <c:tx>
            <c:v>MOSFET</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Flyback_DCM_Calc!$CM$4:$CM$54</c:f>
              <c:numCache>
                <c:formatCode>General</c:formatCode>
                <c:ptCount val="51"/>
                <c:pt idx="0">
                  <c:v>0.14824348422496569</c:v>
                </c:pt>
                <c:pt idx="1">
                  <c:v>0.14782332398892423</c:v>
                </c:pt>
                <c:pt idx="2">
                  <c:v>0.14749278134884194</c:v>
                </c:pt>
                <c:pt idx="3">
                  <c:v>0.14722807018453371</c:v>
                </c:pt>
                <c:pt idx="4">
                  <c:v>0.14701280254538104</c:v>
                </c:pt>
                <c:pt idx="5">
                  <c:v>0.14683538983367719</c:v>
                </c:pt>
                <c:pt idx="6">
                  <c:v>0.14668744988961466</c:v>
                </c:pt>
                <c:pt idx="7">
                  <c:v>0.14656279842051148</c:v>
                </c:pt>
                <c:pt idx="8">
                  <c:v>0.14645679203704084</c:v>
                </c:pt>
                <c:pt idx="9">
                  <c:v>0.14636588947890597</c:v>
                </c:pt>
                <c:pt idx="10">
                  <c:v>0.14628735197782816</c:v>
                </c:pt>
                <c:pt idx="11">
                  <c:v>0.14621903452645607</c:v>
                </c:pt>
                <c:pt idx="12">
                  <c:v>0.14615923784721396</c:v>
                </c:pt>
                <c:pt idx="13">
                  <c:v>0.14610660169477233</c:v>
                </c:pt>
                <c:pt idx="14">
                  <c:v>0.14606002680960342</c:v>
                </c:pt>
                <c:pt idx="15">
                  <c:v>0.14601861705575911</c:v>
                </c:pt>
                <c:pt idx="16">
                  <c:v>0.14598163599030717</c:v>
                </c:pt>
                <c:pt idx="17">
                  <c:v>0.14594847389267535</c:v>
                </c:pt>
                <c:pt idx="18">
                  <c:v>0.14591862247085047</c:v>
                </c:pt>
                <c:pt idx="19">
                  <c:v>0.14589165526754011</c:v>
                </c:pt>
                <c:pt idx="20">
                  <c:v>0.14586721234421016</c:v>
                </c:pt>
                <c:pt idx="21">
                  <c:v>0.14584498820795805</c:v>
                </c:pt>
                <c:pt idx="22">
                  <c:v>0.14582472221962445</c:v>
                </c:pt>
                <c:pt idx="23">
                  <c:v>0.14580619091701791</c:v>
                </c:pt>
                <c:pt idx="24">
                  <c:v>0.14578920182840335</c:v>
                </c:pt>
                <c:pt idx="25">
                  <c:v>0.1457735884545672</c:v>
                </c:pt>
                <c:pt idx="26">
                  <c:v>0.14575920617383487</c:v>
                </c:pt>
                <c:pt idx="27">
                  <c:v>0.14574592888100735</c:v>
                </c:pt>
                <c:pt idx="28">
                  <c:v>0.14573364621365095</c:v>
                </c:pt>
                <c:pt idx="29">
                  <c:v>0.14572226125129795</c:v>
                </c:pt>
                <c:pt idx="30">
                  <c:v>0.14571168859760536</c:v>
                </c:pt>
                <c:pt idx="31">
                  <c:v>0.14570185277431902</c:v>
                </c:pt>
                <c:pt idx="32">
                  <c:v>0.14569268687042455</c:v>
                </c:pt>
                <c:pt idx="33">
                  <c:v>0.14568413140117625</c:v>
                </c:pt>
                <c:pt idx="34">
                  <c:v>0.14567613334054774</c:v>
                </c:pt>
                <c:pt idx="35">
                  <c:v>0.145668645297621</c:v>
                </c:pt>
                <c:pt idx="36">
                  <c:v>0.14566162481295158</c:v>
                </c:pt>
                <c:pt idx="37">
                  <c:v>0.1456550337553445</c:v>
                </c:pt>
                <c:pt idx="38">
                  <c:v>0.14564883780299209</c:v>
                </c:pt>
                <c:pt idx="39">
                  <c:v>0.14564300599575516</c:v>
                </c:pt>
                <c:pt idx="40">
                  <c:v>0.14563751034765365</c:v>
                </c:pt>
                <c:pt idx="41">
                  <c:v>0.14563232551048733</c:v>
                </c:pt>
                <c:pt idx="42">
                  <c:v>0.14562742848101989</c:v>
                </c:pt>
                <c:pt idx="43">
                  <c:v>0.14562279834539543</c:v>
                </c:pt>
                <c:pt idx="44">
                  <c:v>0.14561841605547401</c:v>
                </c:pt>
                <c:pt idx="45">
                  <c:v>0.14561426423260998</c:v>
                </c:pt>
                <c:pt idx="46">
                  <c:v>0.14561032699509158</c:v>
                </c:pt>
                <c:pt idx="47">
                  <c:v>0.14560658980603661</c:v>
                </c:pt>
                <c:pt idx="48">
                  <c:v>0.1456030393390183</c:v>
                </c:pt>
                <c:pt idx="49">
                  <c:v>0.14559966335909891</c:v>
                </c:pt>
                <c:pt idx="50">
                  <c:v>0.14559645061728393</c:v>
                </c:pt>
              </c:numCache>
            </c:numRef>
          </c:yVal>
          <c:smooth val="1"/>
        </c:ser>
        <c:ser>
          <c:idx val="2"/>
          <c:order val="2"/>
          <c:tx>
            <c:v>Diode</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Flyback_DCM_Calc!$CU$4:$CU$54</c:f>
              <c:numCache>
                <c:formatCode>General</c:formatCode>
                <c:ptCount val="51"/>
                <c:pt idx="0">
                  <c:v>0.32999999999999996</c:v>
                </c:pt>
                <c:pt idx="1">
                  <c:v>0.32999999999999996</c:v>
                </c:pt>
                <c:pt idx="2">
                  <c:v>0.32999999999999996</c:v>
                </c:pt>
                <c:pt idx="3">
                  <c:v>0.32999999999999996</c:v>
                </c:pt>
                <c:pt idx="4">
                  <c:v>0.32999999999999996</c:v>
                </c:pt>
                <c:pt idx="5">
                  <c:v>0.32999999999999996</c:v>
                </c:pt>
                <c:pt idx="6">
                  <c:v>0.32999999999999996</c:v>
                </c:pt>
                <c:pt idx="7">
                  <c:v>0.32999999999999996</c:v>
                </c:pt>
                <c:pt idx="8">
                  <c:v>0.32999999999999996</c:v>
                </c:pt>
                <c:pt idx="9">
                  <c:v>0.32999999999999996</c:v>
                </c:pt>
                <c:pt idx="10">
                  <c:v>0.32999999999999996</c:v>
                </c:pt>
                <c:pt idx="11">
                  <c:v>0.32999999999999996</c:v>
                </c:pt>
                <c:pt idx="12">
                  <c:v>0.32999999999999996</c:v>
                </c:pt>
                <c:pt idx="13">
                  <c:v>0.32999999999999996</c:v>
                </c:pt>
                <c:pt idx="14">
                  <c:v>0.32999999999999996</c:v>
                </c:pt>
                <c:pt idx="15">
                  <c:v>0.32999999999999996</c:v>
                </c:pt>
                <c:pt idx="16">
                  <c:v>0.32999999999999996</c:v>
                </c:pt>
                <c:pt idx="17">
                  <c:v>0.32999999999999996</c:v>
                </c:pt>
                <c:pt idx="18">
                  <c:v>0.32999999999999996</c:v>
                </c:pt>
                <c:pt idx="19">
                  <c:v>0.32999999999999996</c:v>
                </c:pt>
                <c:pt idx="20">
                  <c:v>0.32999999999999996</c:v>
                </c:pt>
                <c:pt idx="21">
                  <c:v>0.32999999999999996</c:v>
                </c:pt>
                <c:pt idx="22">
                  <c:v>0.32999999999999996</c:v>
                </c:pt>
                <c:pt idx="23">
                  <c:v>0.32999999999999996</c:v>
                </c:pt>
                <c:pt idx="24">
                  <c:v>0.32999999999999996</c:v>
                </c:pt>
                <c:pt idx="25">
                  <c:v>0.32999999999999996</c:v>
                </c:pt>
                <c:pt idx="26">
                  <c:v>0.32999999999999996</c:v>
                </c:pt>
                <c:pt idx="27">
                  <c:v>0.32999999999999996</c:v>
                </c:pt>
                <c:pt idx="28">
                  <c:v>0.32999999999999996</c:v>
                </c:pt>
                <c:pt idx="29">
                  <c:v>0.32999999999999996</c:v>
                </c:pt>
                <c:pt idx="30">
                  <c:v>0.32999999999999996</c:v>
                </c:pt>
                <c:pt idx="31">
                  <c:v>0.32999999999999996</c:v>
                </c:pt>
                <c:pt idx="32">
                  <c:v>0.32999999999999996</c:v>
                </c:pt>
                <c:pt idx="33">
                  <c:v>0.32999999999999996</c:v>
                </c:pt>
                <c:pt idx="34">
                  <c:v>0.32999999999999996</c:v>
                </c:pt>
                <c:pt idx="35">
                  <c:v>0.32999999999999996</c:v>
                </c:pt>
                <c:pt idx="36">
                  <c:v>0.32999999999999996</c:v>
                </c:pt>
                <c:pt idx="37">
                  <c:v>0.32999999999999996</c:v>
                </c:pt>
                <c:pt idx="38">
                  <c:v>0.32999999999999996</c:v>
                </c:pt>
                <c:pt idx="39">
                  <c:v>0.32999999999999996</c:v>
                </c:pt>
                <c:pt idx="40">
                  <c:v>0.32999999999999996</c:v>
                </c:pt>
                <c:pt idx="41">
                  <c:v>0.32999999999999996</c:v>
                </c:pt>
                <c:pt idx="42">
                  <c:v>0.32999999999999996</c:v>
                </c:pt>
                <c:pt idx="43">
                  <c:v>0.32999999999999996</c:v>
                </c:pt>
                <c:pt idx="44">
                  <c:v>0.32999999999999996</c:v>
                </c:pt>
                <c:pt idx="45">
                  <c:v>0.32999999999999996</c:v>
                </c:pt>
                <c:pt idx="46">
                  <c:v>0.32999999999999996</c:v>
                </c:pt>
                <c:pt idx="47">
                  <c:v>0.32999999999999996</c:v>
                </c:pt>
                <c:pt idx="48">
                  <c:v>0.32999999999999996</c:v>
                </c:pt>
                <c:pt idx="49">
                  <c:v>0.32999999999999996</c:v>
                </c:pt>
                <c:pt idx="50">
                  <c:v>0.32999999999999996</c:v>
                </c:pt>
              </c:numCache>
            </c:numRef>
          </c:yVal>
          <c:smooth val="1"/>
        </c:ser>
        <c:ser>
          <c:idx val="3"/>
          <c:order val="3"/>
          <c:tx>
            <c:v>Clamp</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Flyback_DCM_Calc!$CV$4:$CV$54</c:f>
              <c:numCache>
                <c:formatCode>##0.0E+0</c:formatCode>
                <c:ptCount val="51"/>
                <c:pt idx="0">
                  <c:v>0.74529018002456127</c:v>
                </c:pt>
                <c:pt idx="1">
                  <c:v>0.74474079511818025</c:v>
                </c:pt>
                <c:pt idx="2">
                  <c:v>0.74418265855737609</c:v>
                </c:pt>
                <c:pt idx="3">
                  <c:v>0.74361555954349068</c:v>
                </c:pt>
                <c:pt idx="4">
                  <c:v>0.74303928045313916</c:v>
                </c:pt>
                <c:pt idx="5">
                  <c:v>0.74245359655976362</c:v>
                </c:pt>
                <c:pt idx="6">
                  <c:v>0.74185827574144148</c:v>
                </c:pt>
                <c:pt idx="7">
                  <c:v>0.74125307817415131</c:v>
                </c:pt>
                <c:pt idx="8">
                  <c:v>0.74063775600964332</c:v>
                </c:pt>
                <c:pt idx="9">
                  <c:v>0.74001205303700768</c:v>
                </c:pt>
                <c:pt idx="10">
                  <c:v>0.73937570432696809</c:v>
                </c:pt>
                <c:pt idx="11">
                  <c:v>0.73872843585786152</c:v>
                </c:pt>
                <c:pt idx="12">
                  <c:v>0.73806996412220105</c:v>
                </c:pt>
                <c:pt idx="13">
                  <c:v>0.73739999571262671</c:v>
                </c:pt>
                <c:pt idx="14">
                  <c:v>0.73671822688598021</c:v>
                </c:pt>
                <c:pt idx="15">
                  <c:v>0.73602434310413956</c:v>
                </c:pt>
                <c:pt idx="16">
                  <c:v>0.73531801855015844</c:v>
                </c:pt>
                <c:pt idx="17">
                  <c:v>0.73459891561813928</c:v>
                </c:pt>
                <c:pt idx="18">
                  <c:v>0.73386668437517422</c:v>
                </c:pt>
                <c:pt idx="19">
                  <c:v>0.73312096199353904</c:v>
                </c:pt>
                <c:pt idx="20">
                  <c:v>0.73236137215121466</c:v>
                </c:pt>
                <c:pt idx="21">
                  <c:v>0.73158752439864783</c:v>
                </c:pt>
                <c:pt idx="22">
                  <c:v>0.73079901348951615</c:v>
                </c:pt>
                <c:pt idx="23">
                  <c:v>0.72999541867308859</c:v>
                </c:pt>
                <c:pt idx="24">
                  <c:v>0.72917630294558189</c:v>
                </c:pt>
                <c:pt idx="25">
                  <c:v>0.72834121225771187</c:v>
                </c:pt>
                <c:pt idx="26">
                  <c:v>0.72748967467543002</c:v>
                </c:pt>
                <c:pt idx="27">
                  <c:v>0.72662119949057458</c:v>
                </c:pt>
                <c:pt idx="28">
                  <c:v>0.72573527627792145</c:v>
                </c:pt>
                <c:pt idx="29">
                  <c:v>0.72483137389482555</c:v>
                </c:pt>
                <c:pt idx="30">
                  <c:v>0.72390893941933276</c:v>
                </c:pt>
                <c:pt idx="31">
                  <c:v>0.7229673970223035</c:v>
                </c:pt>
                <c:pt idx="32">
                  <c:v>0.72200614676870778</c:v>
                </c:pt>
                <c:pt idx="33">
                  <c:v>0.72102456334285792</c:v>
                </c:pt>
                <c:pt idx="34">
                  <c:v>0.720021994691878</c:v>
                </c:pt>
                <c:pt idx="35">
                  <c:v>0.71899776058122988</c:v>
                </c:pt>
                <c:pt idx="36">
                  <c:v>0.71795115105557283</c:v>
                </c:pt>
                <c:pt idx="37">
                  <c:v>0.7168814247976355</c:v>
                </c:pt>
                <c:pt idx="38">
                  <c:v>0.71578780737713044</c:v>
                </c:pt>
                <c:pt idx="39">
                  <c:v>0.71466948938101771</c:v>
                </c:pt>
                <c:pt idx="40">
                  <c:v>0.7135256244156305</c:v>
                </c:pt>
                <c:pt idx="41">
                  <c:v>0.71235532697030124</c:v>
                </c:pt>
                <c:pt idx="42">
                  <c:v>0.71115767013115239</c:v>
                </c:pt>
                <c:pt idx="43">
                  <c:v>0.70993168313265098</c:v>
                </c:pt>
                <c:pt idx="44">
                  <c:v>0.70867634873333007</c:v>
                </c:pt>
                <c:pt idx="45">
                  <c:v>0.70739060040077051</c:v>
                </c:pt>
                <c:pt idx="46">
                  <c:v>0.70607331928946815</c:v>
                </c:pt>
                <c:pt idx="47">
                  <c:v>0.70472333099358919</c:v>
                </c:pt>
                <c:pt idx="48">
                  <c:v>0.70333940205480405</c:v>
                </c:pt>
                <c:pt idx="49">
                  <c:v>0.70192023620337407</c:v>
                </c:pt>
                <c:pt idx="50">
                  <c:v>0.70046447030841341</c:v>
                </c:pt>
              </c:numCache>
            </c:numRef>
          </c:yVal>
          <c:smooth val="1"/>
        </c:ser>
        <c:dLbls>
          <c:showLegendKey val="0"/>
          <c:showVal val="0"/>
          <c:showCatName val="0"/>
          <c:showSerName val="0"/>
          <c:showPercent val="0"/>
          <c:showBubbleSize val="0"/>
        </c:dLbls>
        <c:axId val="210133760"/>
        <c:axId val="210135680"/>
      </c:scatterChart>
      <c:valAx>
        <c:axId val="210133760"/>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210135680"/>
        <c:crosses val="autoZero"/>
        <c:crossBetween val="midCat"/>
      </c:valAx>
      <c:valAx>
        <c:axId val="210135680"/>
        <c:scaling>
          <c:orientation val="minMax"/>
        </c:scaling>
        <c:delete val="0"/>
        <c:axPos val="l"/>
        <c:majorGridlines/>
        <c:title>
          <c:tx>
            <c:rich>
              <a:bodyPr rot="-5400000" vert="horz"/>
              <a:lstStyle/>
              <a:p>
                <a:pPr>
                  <a:defRPr/>
                </a:pPr>
                <a:r>
                  <a:rPr lang="en-US"/>
                  <a:t>Converter</a:t>
                </a:r>
                <a:r>
                  <a:rPr lang="en-US" baseline="0"/>
                  <a:t> Losses (W)</a:t>
                </a:r>
                <a:endParaRPr lang="en-US"/>
              </a:p>
            </c:rich>
          </c:tx>
          <c:layout/>
          <c:overlay val="0"/>
        </c:title>
        <c:numFmt formatCode="General" sourceLinked="0"/>
        <c:majorTickMark val="out"/>
        <c:minorTickMark val="none"/>
        <c:tickLblPos val="nextTo"/>
        <c:crossAx val="210133760"/>
        <c:crosses val="autoZero"/>
        <c:crossBetween val="midCat"/>
      </c:valAx>
    </c:plotArea>
    <c:legend>
      <c:legendPos val="r"/>
      <c:layout>
        <c:manualLayout>
          <c:xMode val="edge"/>
          <c:yMode val="edge"/>
          <c:x val="0.77491666666666681"/>
          <c:y val="0.19256954188322781"/>
          <c:w val="0.19573622047244094"/>
          <c:h val="0.2808707239470259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Didoe Reverse Voltage</a:t>
            </a:r>
            <a:r>
              <a:rPr lang="en-US" baseline="0"/>
              <a:t> Stress</a:t>
            </a:r>
            <a:endParaRPr lang="en-US"/>
          </a:p>
        </c:rich>
      </c:tx>
      <c:layout/>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DCM'!$B$128,'Flyback DCM'!$B$129,'Flyback DCM'!$B$130,'Flyback DCM'!$B$131,'Flyback DCM'!$B$132,'Flyback DCM'!$B$133,'Flyback DCM'!$B$134)</c:f>
              <c:numCache>
                <c:formatCode>General</c:formatCode>
                <c:ptCount val="7"/>
                <c:pt idx="0">
                  <c:v>33.271999999999998</c:v>
                </c:pt>
                <c:pt idx="1">
                  <c:v>33.271999999999998</c:v>
                </c:pt>
                <c:pt idx="2">
                  <c:v>0</c:v>
                </c:pt>
                <c:pt idx="3">
                  <c:v>0</c:v>
                </c:pt>
                <c:pt idx="4">
                  <c:v>0</c:v>
                </c:pt>
                <c:pt idx="5">
                  <c:v>0</c:v>
                </c:pt>
                <c:pt idx="6">
                  <c:v>67.072000000000003</c:v>
                </c:pt>
              </c:numCache>
            </c:numRef>
          </c:val>
        </c:ser>
        <c:dLbls>
          <c:showLegendKey val="0"/>
          <c:showVal val="0"/>
          <c:showCatName val="0"/>
          <c:showSerName val="0"/>
          <c:showPercent val="0"/>
          <c:showBubbleSize val="0"/>
        </c:dLbls>
        <c:gapWidth val="150"/>
        <c:axId val="210152832"/>
        <c:axId val="210166912"/>
      </c:barChart>
      <c:catAx>
        <c:axId val="210152832"/>
        <c:scaling>
          <c:orientation val="minMax"/>
        </c:scaling>
        <c:delete val="0"/>
        <c:axPos val="b"/>
        <c:majorTickMark val="out"/>
        <c:minorTickMark val="none"/>
        <c:tickLblPos val="nextTo"/>
        <c:crossAx val="210166912"/>
        <c:crosses val="autoZero"/>
        <c:auto val="1"/>
        <c:lblAlgn val="ctr"/>
        <c:lblOffset val="100"/>
        <c:noMultiLvlLbl val="0"/>
      </c:catAx>
      <c:valAx>
        <c:axId val="210166912"/>
        <c:scaling>
          <c:orientation val="minMax"/>
        </c:scaling>
        <c:delete val="0"/>
        <c:axPos val="l"/>
        <c:majorGridlines/>
        <c:title>
          <c:tx>
            <c:rich>
              <a:bodyPr rot="-5400000" vert="horz"/>
              <a:lstStyle/>
              <a:p>
                <a:pPr>
                  <a:defRPr/>
                </a:pPr>
                <a:r>
                  <a:rPr lang="en-US"/>
                  <a:t>Voltage</a:t>
                </a:r>
                <a:r>
                  <a:rPr lang="en-US" baseline="0"/>
                  <a:t> Stress (V)</a:t>
                </a:r>
                <a:endParaRPr lang="en-US"/>
              </a:p>
            </c:rich>
          </c:tx>
          <c:layout/>
          <c:overlay val="0"/>
        </c:title>
        <c:numFmt formatCode="General" sourceLinked="1"/>
        <c:majorTickMark val="out"/>
        <c:minorTickMark val="none"/>
        <c:tickLblPos val="nextTo"/>
        <c:crossAx val="210152832"/>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layout/>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DCM'!$B$137,'Flyback DCM'!$B$140,'Flyback DCM'!$B$143,'Flyback DCM'!$B$146,'Flyback DCM'!$B$149,'Flyback DCM'!$B$152,'Flyback DCM'!$B$155)</c:f>
              <c:numCache>
                <c:formatCode>0.00</c:formatCode>
                <c:ptCount val="7"/>
                <c:pt idx="0">
                  <c:v>12.171612389003691</c:v>
                </c:pt>
                <c:pt idx="1">
                  <c:v>12.171612389003691</c:v>
                </c:pt>
                <c:pt idx="2">
                  <c:v>0</c:v>
                </c:pt>
                <c:pt idx="3">
                  <c:v>0</c:v>
                </c:pt>
                <c:pt idx="4">
                  <c:v>0</c:v>
                </c:pt>
                <c:pt idx="5">
                  <c:v>0</c:v>
                </c:pt>
                <c:pt idx="6">
                  <c:v>2.4343224778007384</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DCM'!$B$138,'Flyback DCM'!$B$141,'Flyback DCM'!$B$144,'Flyback DCM'!$B$147,'Flyback DCM'!$B$150,'Flyback DCM'!$B$153,'Flyback DCM'!$B$156)</c:f>
              <c:numCache>
                <c:formatCode>General</c:formatCode>
                <c:ptCount val="7"/>
                <c:pt idx="0">
                  <c:v>20</c:v>
                </c:pt>
                <c:pt idx="1">
                  <c:v>20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210217216"/>
        <c:axId val="210219392"/>
      </c:barChart>
      <c:catAx>
        <c:axId val="210217216"/>
        <c:scaling>
          <c:orientation val="minMax"/>
        </c:scaling>
        <c:delete val="0"/>
        <c:axPos val="b"/>
        <c:majorGridlines/>
        <c:title>
          <c:tx>
            <c:rich>
              <a:bodyPr/>
              <a:lstStyle/>
              <a:p>
                <a:pPr>
                  <a:defRPr/>
                </a:pPr>
                <a:r>
                  <a:rPr lang="en-US"/>
                  <a:t>Output</a:t>
                </a:r>
              </a:p>
            </c:rich>
          </c:tx>
          <c:layout/>
          <c:overlay val="0"/>
        </c:title>
        <c:majorTickMark val="out"/>
        <c:minorTickMark val="none"/>
        <c:tickLblPos val="nextTo"/>
        <c:crossAx val="210219392"/>
        <c:crosses val="autoZero"/>
        <c:auto val="1"/>
        <c:lblAlgn val="ctr"/>
        <c:lblOffset val="100"/>
        <c:noMultiLvlLbl val="0"/>
      </c:catAx>
      <c:valAx>
        <c:axId val="210219392"/>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0.00" sourceLinked="1"/>
        <c:majorTickMark val="out"/>
        <c:minorTickMark val="none"/>
        <c:tickLblPos val="nextTo"/>
        <c:crossAx val="210217216"/>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layout/>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10</c:v>
                </c:pt>
                <c:pt idx="1">
                  <c:v>5</c:v>
                </c:pt>
                <c:pt idx="2">
                  <c:v>5</c:v>
                </c:pt>
                <c:pt idx="3">
                  <c:v>0</c:v>
                </c:pt>
                <c:pt idx="4">
                  <c:v>0</c:v>
                </c:pt>
                <c:pt idx="5">
                  <c:v>0</c:v>
                </c:pt>
                <c:pt idx="6">
                  <c:v>0</c:v>
                </c:pt>
              </c:numCache>
            </c:numRef>
          </c:val>
        </c:ser>
        <c:dLbls>
          <c:showLegendKey val="0"/>
          <c:showVal val="0"/>
          <c:showCatName val="0"/>
          <c:showSerName val="0"/>
          <c:showPercent val="0"/>
          <c:showBubbleSize val="0"/>
        </c:dLbls>
        <c:gapWidth val="150"/>
        <c:axId val="210256640"/>
        <c:axId val="210258176"/>
      </c:barChart>
      <c:catAx>
        <c:axId val="210256640"/>
        <c:scaling>
          <c:orientation val="minMax"/>
        </c:scaling>
        <c:delete val="0"/>
        <c:axPos val="b"/>
        <c:majorGridlines/>
        <c:majorTickMark val="out"/>
        <c:minorTickMark val="none"/>
        <c:tickLblPos val="nextTo"/>
        <c:crossAx val="210258176"/>
        <c:crosses val="autoZero"/>
        <c:auto val="1"/>
        <c:lblAlgn val="ctr"/>
        <c:lblOffset val="100"/>
        <c:noMultiLvlLbl val="0"/>
      </c:catAx>
      <c:valAx>
        <c:axId val="210258176"/>
        <c:scaling>
          <c:orientation val="minMax"/>
        </c:scaling>
        <c:delete val="0"/>
        <c:axPos val="l"/>
        <c:majorGridlines/>
        <c:title>
          <c:tx>
            <c:rich>
              <a:bodyPr rot="-5400000" vert="horz"/>
              <a:lstStyle/>
              <a:p>
                <a:pPr>
                  <a:defRPr/>
                </a:pPr>
                <a:r>
                  <a:rPr lang="en-US"/>
                  <a:t>Output</a:t>
                </a:r>
                <a:r>
                  <a:rPr lang="en-US" baseline="0"/>
                  <a:t> Voltages (V)</a:t>
                </a:r>
                <a:endParaRPr lang="en-US"/>
              </a:p>
            </c:rich>
          </c:tx>
          <c:layout/>
          <c:overlay val="0"/>
        </c:title>
        <c:numFmt formatCode="General" sourceLinked="1"/>
        <c:majorTickMark val="out"/>
        <c:minorTickMark val="none"/>
        <c:tickLblPos val="nextTo"/>
        <c:crossAx val="21025664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FlyBB_DutyCycle</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'Fly-BB_Calc'!$Q$4:$Q$54</c:f>
              <c:numCache>
                <c:formatCode>General</c:formatCode>
                <c:ptCount val="51"/>
                <c:pt idx="0">
                  <c:v>0.5</c:v>
                </c:pt>
                <c:pt idx="1">
                  <c:v>0.47923322683706066</c:v>
                </c:pt>
                <c:pt idx="2">
                  <c:v>0.46012269938650302</c:v>
                </c:pt>
                <c:pt idx="3">
                  <c:v>0.44247787610619471</c:v>
                </c:pt>
                <c:pt idx="4">
                  <c:v>0.42613636363636359</c:v>
                </c:pt>
                <c:pt idx="5">
                  <c:v>0.41095890410958907</c:v>
                </c:pt>
                <c:pt idx="6">
                  <c:v>0.3968253968253968</c:v>
                </c:pt>
                <c:pt idx="7">
                  <c:v>0.38363171355498721</c:v>
                </c:pt>
                <c:pt idx="8">
                  <c:v>0.37128712871287128</c:v>
                </c:pt>
                <c:pt idx="9">
                  <c:v>0.35971223021582732</c:v>
                </c:pt>
                <c:pt idx="10">
                  <c:v>0.34883720930232559</c:v>
                </c:pt>
                <c:pt idx="11">
                  <c:v>0.33860045146726864</c:v>
                </c:pt>
                <c:pt idx="12">
                  <c:v>0.32894736842105265</c:v>
                </c:pt>
                <c:pt idx="13">
                  <c:v>0.31982942430703626</c:v>
                </c:pt>
                <c:pt idx="14">
                  <c:v>0.31120331950207469</c:v>
                </c:pt>
                <c:pt idx="15">
                  <c:v>0.30303030303030298</c:v>
                </c:pt>
                <c:pt idx="16">
                  <c:v>0.29527559055118108</c:v>
                </c:pt>
                <c:pt idx="17">
                  <c:v>0.28790786948176583</c:v>
                </c:pt>
                <c:pt idx="18">
                  <c:v>0.2808988764044944</c:v>
                </c:pt>
                <c:pt idx="19">
                  <c:v>0.27422303473491771</c:v>
                </c:pt>
                <c:pt idx="20">
                  <c:v>0.26785714285714285</c:v>
                </c:pt>
                <c:pt idx="21">
                  <c:v>0.26178010471204194</c:v>
                </c:pt>
                <c:pt idx="22">
                  <c:v>0.25597269624573382</c:v>
                </c:pt>
                <c:pt idx="23">
                  <c:v>0.25041736227045075</c:v>
                </c:pt>
                <c:pt idx="24">
                  <c:v>0.24509803921568629</c:v>
                </c:pt>
                <c:pt idx="25">
                  <c:v>0.24</c:v>
                </c:pt>
                <c:pt idx="26">
                  <c:v>0.23510971786833856</c:v>
                </c:pt>
                <c:pt idx="27">
                  <c:v>0.23041474654377878</c:v>
                </c:pt>
                <c:pt idx="28">
                  <c:v>0.2259036144578313</c:v>
                </c:pt>
                <c:pt idx="29">
                  <c:v>0.22156573116691283</c:v>
                </c:pt>
                <c:pt idx="30">
                  <c:v>0.21739130434782605</c:v>
                </c:pt>
                <c:pt idx="31">
                  <c:v>0.21337126600284495</c:v>
                </c:pt>
                <c:pt idx="32">
                  <c:v>0.20949720670391062</c:v>
                </c:pt>
                <c:pt idx="33">
                  <c:v>0.20576131687242796</c:v>
                </c:pt>
                <c:pt idx="34">
                  <c:v>0.20215633423180596</c:v>
                </c:pt>
                <c:pt idx="35">
                  <c:v>0.19867549668874174</c:v>
                </c:pt>
                <c:pt idx="36">
                  <c:v>0.1953125</c:v>
                </c:pt>
                <c:pt idx="37">
                  <c:v>0.19206145966709348</c:v>
                </c:pt>
                <c:pt idx="38">
                  <c:v>0.18891687657430731</c:v>
                </c:pt>
                <c:pt idx="39">
                  <c:v>0.18587360594795538</c:v>
                </c:pt>
                <c:pt idx="40">
                  <c:v>0.18292682926829268</c:v>
                </c:pt>
                <c:pt idx="41">
                  <c:v>0.18007202881152459</c:v>
                </c:pt>
                <c:pt idx="42">
                  <c:v>0.1773049645390071</c:v>
                </c:pt>
                <c:pt idx="43">
                  <c:v>0.17462165308498254</c:v>
                </c:pt>
                <c:pt idx="44">
                  <c:v>0.17201834862385321</c:v>
                </c:pt>
                <c:pt idx="45">
                  <c:v>0.16949152542372881</c:v>
                </c:pt>
                <c:pt idx="46">
                  <c:v>0.16703786191536749</c:v>
                </c:pt>
                <c:pt idx="47">
                  <c:v>0.16465422612513719</c:v>
                </c:pt>
                <c:pt idx="48">
                  <c:v>0.16233766233766234</c:v>
                </c:pt>
                <c:pt idx="49">
                  <c:v>0.16008537886873</c:v>
                </c:pt>
                <c:pt idx="50">
                  <c:v>0.15789473684210525</c:v>
                </c:pt>
              </c:numCache>
            </c:numRef>
          </c:yVal>
          <c:smooth val="1"/>
        </c:ser>
        <c:dLbls>
          <c:showLegendKey val="0"/>
          <c:showVal val="0"/>
          <c:showCatName val="0"/>
          <c:showSerName val="0"/>
          <c:showPercent val="0"/>
          <c:showBubbleSize val="0"/>
        </c:dLbls>
        <c:axId val="210960384"/>
        <c:axId val="210961920"/>
      </c:scatterChart>
      <c:valAx>
        <c:axId val="210960384"/>
        <c:scaling>
          <c:orientation val="minMax"/>
        </c:scaling>
        <c:delete val="0"/>
        <c:axPos val="b"/>
        <c:numFmt formatCode="General" sourceLinked="1"/>
        <c:majorTickMark val="out"/>
        <c:minorTickMark val="none"/>
        <c:tickLblPos val="nextTo"/>
        <c:crossAx val="210961920"/>
        <c:crosses val="autoZero"/>
        <c:crossBetween val="midCat"/>
      </c:valAx>
      <c:valAx>
        <c:axId val="210961920"/>
        <c:scaling>
          <c:orientation val="minMax"/>
        </c:scaling>
        <c:delete val="0"/>
        <c:axPos val="l"/>
        <c:majorGridlines/>
        <c:numFmt formatCode="General" sourceLinked="1"/>
        <c:majorTickMark val="out"/>
        <c:minorTickMark val="none"/>
        <c:tickLblPos val="nextTo"/>
        <c:crossAx val="210960384"/>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Load Efficieny</a:t>
            </a:r>
            <a:endParaRPr lang="en-US"/>
          </a:p>
        </c:rich>
      </c:tx>
      <c:layout/>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'Fly-Buck_Calc'!$CU$4:$CU$54</c:f>
              <c:numCache>
                <c:formatCode>##0.0E+0</c:formatCode>
                <c:ptCount val="51"/>
                <c:pt idx="0">
                  <c:v>0.88581686896666356</c:v>
                </c:pt>
                <c:pt idx="1">
                  <c:v>0.88777155416560649</c:v>
                </c:pt>
                <c:pt idx="2">
                  <c:v>0.88902601213844501</c:v>
                </c:pt>
                <c:pt idx="3">
                  <c:v>0.8897625419739591</c:v>
                </c:pt>
                <c:pt idx="4">
                  <c:v>0.89010838316853957</c:v>
                </c:pt>
                <c:pt idx="5">
                  <c:v>0.89015443925554638</c:v>
                </c:pt>
                <c:pt idx="6">
                  <c:v>0.88996700238115989</c:v>
                </c:pt>
                <c:pt idx="7">
                  <c:v>0.88959530594758707</c:v>
                </c:pt>
                <c:pt idx="8">
                  <c:v>0.88907651403507904</c:v>
                </c:pt>
                <c:pt idx="9">
                  <c:v>0.88843909274401101</c:v>
                </c:pt>
                <c:pt idx="10">
                  <c:v>0.88770513492397862</c:v>
                </c:pt>
                <c:pt idx="11">
                  <c:v>0.88689199288915699</c:v>
                </c:pt>
                <c:pt idx="12">
                  <c:v>0.88601344437422247</c:v>
                </c:pt>
                <c:pt idx="13">
                  <c:v>0.88508053790466612</c:v>
                </c:pt>
                <c:pt idx="14">
                  <c:v>0.8841022143014492</c:v>
                </c:pt>
                <c:pt idx="15">
                  <c:v>0.88308576946779216</c:v>
                </c:pt>
                <c:pt idx="16">
                  <c:v>0.88203720306393474</c:v>
                </c:pt>
                <c:pt idx="17">
                  <c:v>0.88096148407513419</c:v>
                </c:pt>
                <c:pt idx="18">
                  <c:v>0.87986275512712775</c:v>
                </c:pt>
                <c:pt idx="19">
                  <c:v>0.87874449115356001</c:v>
                </c:pt>
                <c:pt idx="20">
                  <c:v>0.87760962369208984</c:v>
                </c:pt>
                <c:pt idx="21">
                  <c:v>0.87646063905012084</c:v>
                </c:pt>
                <c:pt idx="22">
                  <c:v>0.87529965642588559</c:v>
                </c:pt>
                <c:pt idx="23">
                  <c:v>0.87412849052322483</c:v>
                </c:pt>
                <c:pt idx="24">
                  <c:v>0.87294870207567699</c:v>
                </c:pt>
                <c:pt idx="25">
                  <c:v>0.87176163887276648</c:v>
                </c:pt>
                <c:pt idx="26">
                  <c:v>0.87056846927288412</c:v>
                </c:pt>
                <c:pt idx="27">
                  <c:v>0.86937020973311696</c:v>
                </c:pt>
                <c:pt idx="28">
                  <c:v>0.86816774754480974</c:v>
                </c:pt>
                <c:pt idx="29">
                  <c:v>0.86696185970463879</c:v>
                </c:pt>
                <c:pt idx="30">
                  <c:v>0.86575322865313886</c:v>
                </c:pt>
                <c:pt idx="31">
                  <c:v>0.8645424554604294</c:v>
                </c:pt>
                <c:pt idx="32">
                  <c:v>0.86333007092103753</c:v>
                </c:pt>
                <c:pt idx="33">
                  <c:v>0.86211654492786316</c:v>
                </c:pt>
                <c:pt idx="34">
                  <c:v>0.86090229442332533</c:v>
                </c:pt>
                <c:pt idx="35">
                  <c:v>0.85968769016894719</c:v>
                </c:pt>
                <c:pt idx="36">
                  <c:v>0.85847306252961253</c:v>
                </c:pt>
                <c:pt idx="37">
                  <c:v>0.85725870643284574</c:v>
                </c:pt>
                <c:pt idx="38">
                  <c:v>0.85604488563472292</c:v>
                </c:pt>
                <c:pt idx="39">
                  <c:v>0.85483183640088634</c:v>
                </c:pt>
                <c:pt idx="40">
                  <c:v>0.85361977069242734</c:v>
                </c:pt>
                <c:pt idx="41">
                  <c:v>0.85240887893121053</c:v>
                </c:pt>
                <c:pt idx="42">
                  <c:v>0.85119933240682533</c:v>
                </c:pt>
                <c:pt idx="43">
                  <c:v>0.8499912853771987</c:v>
                </c:pt>
                <c:pt idx="44">
                  <c:v>0.84878487690656723</c:v>
                </c:pt>
                <c:pt idx="45">
                  <c:v>0.84758023247762104</c:v>
                </c:pt>
                <c:pt idx="46">
                  <c:v>0.84637746540893544</c:v>
                </c:pt>
                <c:pt idx="47">
                  <c:v>0.84517667810406705</c:v>
                </c:pt>
                <c:pt idx="48">
                  <c:v>0.84397796315474105</c:v>
                </c:pt>
                <c:pt idx="49">
                  <c:v>0.84278140431725945</c:v>
                </c:pt>
                <c:pt idx="50">
                  <c:v>0.84158707737847704</c:v>
                </c:pt>
              </c:numCache>
            </c:numRef>
          </c:yVal>
          <c:smooth val="1"/>
        </c:ser>
        <c:ser>
          <c:idx val="1"/>
          <c:order val="1"/>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'Fly-BB_Calc'!$CU$4:$CU$54</c:f>
              <c:numCache>
                <c:formatCode>General</c:formatCode>
                <c:ptCount val="51"/>
                <c:pt idx="0">
                  <c:v>0.8771262792327299</c:v>
                </c:pt>
                <c:pt idx="1">
                  <c:v>0.87967628916316221</c:v>
                </c:pt>
                <c:pt idx="2">
                  <c:v>0.88148992795290071</c:v>
                </c:pt>
                <c:pt idx="3">
                  <c:v>0.88275453457755038</c:v>
                </c:pt>
                <c:pt idx="4">
                  <c:v>0.88360163289992566</c:v>
                </c:pt>
                <c:pt idx="5">
                  <c:v>0.88412572414269053</c:v>
                </c:pt>
                <c:pt idx="6">
                  <c:v>0.88439610925053558</c:v>
                </c:pt>
                <c:pt idx="7">
                  <c:v>0.88446453852951101</c:v>
                </c:pt>
                <c:pt idx="8">
                  <c:v>0.88437028693785535</c:v>
                </c:pt>
                <c:pt idx="9">
                  <c:v>0.8841435977900528</c:v>
                </c:pt>
                <c:pt idx="10">
                  <c:v>0.88380806704731441</c:v>
                </c:pt>
                <c:pt idx="11">
                  <c:v>0.88338232451635224</c:v>
                </c:pt>
                <c:pt idx="12">
                  <c:v>0.88288123909556315</c:v>
                </c:pt>
                <c:pt idx="13">
                  <c:v>0.8823167959644016</c:v>
                </c:pt>
                <c:pt idx="14">
                  <c:v>0.88169874389719227</c:v>
                </c:pt>
                <c:pt idx="15">
                  <c:v>0.88103507904552281</c:v>
                </c:pt>
                <c:pt idx="16">
                  <c:v>0.88033241075650959</c:v>
                </c:pt>
                <c:pt idx="17">
                  <c:v>0.879596241197661</c:v>
                </c:pt>
                <c:pt idx="18">
                  <c:v>0.87883118124950488</c:v>
                </c:pt>
                <c:pt idx="19">
                  <c:v>0.87804111875126922</c:v>
                </c:pt>
                <c:pt idx="20">
                  <c:v>0.8772293507576</c:v>
                </c:pt>
                <c:pt idx="21">
                  <c:v>0.87639868835031098</c:v>
                </c:pt>
                <c:pt idx="22">
                  <c:v>0.87555154033253368</c:v>
                </c:pt>
                <c:pt idx="23">
                  <c:v>0.87468998053697755</c:v>
                </c:pt>
                <c:pt idx="24">
                  <c:v>0.87381580231927802</c:v>
                </c:pt>
                <c:pt idx="25">
                  <c:v>0.87293056295465454</c:v>
                </c:pt>
                <c:pt idx="26">
                  <c:v>0.87203562002381318</c:v>
                </c:pt>
                <c:pt idx="27">
                  <c:v>0.87113216140106597</c:v>
                </c:pt>
                <c:pt idx="28">
                  <c:v>0.87022123010094177</c:v>
                </c:pt>
                <c:pt idx="29">
                  <c:v>0.86930374496844875</c:v>
                </c:pt>
                <c:pt idx="30">
                  <c:v>0.86838051799053639</c:v>
                </c:pt>
                <c:pt idx="31">
                  <c:v>0.86745226884623483</c:v>
                </c:pt>
                <c:pt idx="32">
                  <c:v>0.8665196371886843</c:v>
                </c:pt>
                <c:pt idx="33">
                  <c:v>0.86558319305520404</c:v>
                </c:pt>
                <c:pt idx="34">
                  <c:v>0.86464344572527096</c:v>
                </c:pt>
                <c:pt idx="35">
                  <c:v>0.86370085128599083</c:v>
                </c:pt>
                <c:pt idx="36">
                  <c:v>0.86275581911672983</c:v>
                </c:pt>
                <c:pt idx="37">
                  <c:v>0.86180871746630339</c:v>
                </c:pt>
                <c:pt idx="38">
                  <c:v>0.86085987826538835</c:v>
                </c:pt>
                <c:pt idx="39">
                  <c:v>0.85990960129203453</c:v>
                </c:pt>
                <c:pt idx="40">
                  <c:v>0.85895815778806561</c:v>
                </c:pt>
                <c:pt idx="41">
                  <c:v>0.85800579360780582</c:v>
                </c:pt>
                <c:pt idx="42">
                  <c:v>0.85705273196720488</c:v>
                </c:pt>
                <c:pt idx="43">
                  <c:v>0.85609917585046191</c:v>
                </c:pt>
                <c:pt idx="44">
                  <c:v>0.85514531012221795</c:v>
                </c:pt>
                <c:pt idx="45">
                  <c:v>0.85419130338590621</c:v>
                </c:pt>
                <c:pt idx="46">
                  <c:v>0.8532373096226521</c:v>
                </c:pt>
                <c:pt idx="47">
                  <c:v>0.85228346963994517</c:v>
                </c:pt>
                <c:pt idx="48">
                  <c:v>0.85132991235499578</c:v>
                </c:pt>
                <c:pt idx="49">
                  <c:v>0.85037675593405992</c:v>
                </c:pt>
                <c:pt idx="50">
                  <c:v>0.84942410880598496</c:v>
                </c:pt>
              </c:numCache>
            </c:numRef>
          </c:yVal>
          <c:smooth val="1"/>
        </c:ser>
        <c:ser>
          <c:idx val="2"/>
          <c:order val="2"/>
          <c:tx>
            <c:v>Flyback CCM</c:v>
          </c:tx>
          <c:marker>
            <c:symbol val="none"/>
          </c:marker>
          <c:xVal>
            <c:numRef>
              <c:f>Flyback_CCM_Calc!$M$4:$M$54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Flyback_CCM_Calc!$CV$4:$CV$54</c:f>
              <c:numCache>
                <c:formatCode>##0.0E+0</c:formatCode>
                <c:ptCount val="51"/>
                <c:pt idx="0">
                  <c:v>0.84898543356357647</c:v>
                </c:pt>
                <c:pt idx="1">
                  <c:v>0.85228679417954423</c:v>
                </c:pt>
                <c:pt idx="2">
                  <c:v>0.8549314345455602</c:v>
                </c:pt>
                <c:pt idx="3">
                  <c:v>0.85707606277966908</c:v>
                </c:pt>
                <c:pt idx="4">
                  <c:v>0.85883248566338932</c:v>
                </c:pt>
                <c:pt idx="5">
                  <c:v>0.86028233542106558</c:v>
                </c:pt>
                <c:pt idx="6">
                  <c:v>0.86148643197346164</c:v>
                </c:pt>
                <c:pt idx="7">
                  <c:v>0.86249090720694177</c:v>
                </c:pt>
                <c:pt idx="8">
                  <c:v>0.86333131376983252</c:v>
                </c:pt>
                <c:pt idx="9">
                  <c:v>0.86403544454759307</c:v>
                </c:pt>
                <c:pt idx="10">
                  <c:v>0.86462530690967654</c:v>
                </c:pt>
                <c:pt idx="11">
                  <c:v>0.86511853052778798</c:v>
                </c:pt>
                <c:pt idx="12">
                  <c:v>0.86552938797733936</c:v>
                </c:pt>
                <c:pt idx="13">
                  <c:v>0.86586954581032216</c:v>
                </c:pt>
                <c:pt idx="14">
                  <c:v>0.86614862490472455</c:v>
                </c:pt>
                <c:pt idx="15">
                  <c:v>0.866374623806068</c:v>
                </c:pt>
                <c:pt idx="16">
                  <c:v>0.86655424227698574</c:v>
                </c:pt>
                <c:pt idx="17">
                  <c:v>0.86669313122908453</c:v>
                </c:pt>
                <c:pt idx="18">
                  <c:v>0.86679608770237249</c:v>
                </c:pt>
                <c:pt idx="19">
                  <c:v>0.86686720837455411</c:v>
                </c:pt>
                <c:pt idx="20">
                  <c:v>0.86691001145532931</c:v>
                </c:pt>
                <c:pt idx="21">
                  <c:v>0.86692753424975111</c:v>
                </c:pt>
                <c:pt idx="22">
                  <c:v>0.8669224118303146</c:v>
                </c:pt>
                <c:pt idx="23">
                  <c:v>0.86689694091953151</c:v>
                </c:pt>
                <c:pt idx="24">
                  <c:v>0.8668531321040398</c:v>
                </c:pt>
                <c:pt idx="25">
                  <c:v>0.86679275277535839</c:v>
                </c:pt>
                <c:pt idx="26">
                  <c:v>0.86671736265006749</c:v>
                </c:pt>
                <c:pt idx="27">
                  <c:v>0.86662834331352201</c:v>
                </c:pt>
                <c:pt idx="28">
                  <c:v>0.86652692292070821</c:v>
                </c:pt>
                <c:pt idx="29">
                  <c:v>0.86641419695013822</c:v>
                </c:pt>
                <c:pt idx="30">
                  <c:v>0.86629114572332477</c:v>
                </c:pt>
                <c:pt idx="31">
                  <c:v>0.86615864926000774</c:v>
                </c:pt>
                <c:pt idx="32">
                  <c:v>0.86601749992798982</c:v>
                </c:pt>
                <c:pt idx="33">
                  <c:v>0.86586841325889785</c:v>
                </c:pt>
                <c:pt idx="34">
                  <c:v>0.86571203723190515</c:v>
                </c:pt>
                <c:pt idx="35">
                  <c:v>0.86554896027232808</c:v>
                </c:pt>
                <c:pt idx="36">
                  <c:v>0.86537971816790515</c:v>
                </c:pt>
                <c:pt idx="37">
                  <c:v>0.86520480007010547</c:v>
                </c:pt>
                <c:pt idx="38">
                  <c:v>0.86502465371915038</c:v>
                </c:pt>
                <c:pt idx="39">
                  <c:v>0.86483969000817484</c:v>
                </c:pt>
                <c:pt idx="40">
                  <c:v>0.86465028698297142</c:v>
                </c:pt>
                <c:pt idx="41">
                  <c:v>0.86445679335823522</c:v>
                </c:pt>
                <c:pt idx="42">
                  <c:v>0.86425953161844005</c:v>
                </c:pt>
                <c:pt idx="43">
                  <c:v>0.86405880076094288</c:v>
                </c:pt>
                <c:pt idx="44">
                  <c:v>0.86385487873017064</c:v>
                </c:pt>
                <c:pt idx="45">
                  <c:v>0.86364802458448453</c:v>
                </c:pt>
                <c:pt idx="46">
                  <c:v>0.86343848043126259</c:v>
                </c:pt>
                <c:pt idx="47">
                  <c:v>0.86322647316067491</c:v>
                </c:pt>
                <c:pt idx="48">
                  <c:v>0.86301221600437639</c:v>
                </c:pt>
                <c:pt idx="49">
                  <c:v>0.86279590994177136</c:v>
                </c:pt>
                <c:pt idx="50">
                  <c:v>0.86257774497349526</c:v>
                </c:pt>
              </c:numCache>
            </c:numRef>
          </c:yVal>
          <c:smooth val="1"/>
        </c:ser>
        <c:ser>
          <c:idx val="3"/>
          <c:order val="3"/>
          <c:tx>
            <c:v>Flyback DCM</c:v>
          </c:tx>
          <c:marker>
            <c:symbol val="none"/>
          </c:marker>
          <c:xVal>
            <c:numRef>
              <c:f>Flyback_DCM_Calc!$L$4:$L$54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Flyback_DCM_Calc!$CY$4:$CY$54</c:f>
              <c:numCache>
                <c:formatCode>##0.0E+0</c:formatCode>
                <c:ptCount val="51"/>
                <c:pt idx="0">
                  <c:v>0.82564537729513965</c:v>
                </c:pt>
                <c:pt idx="1">
                  <c:v>0.8264245782454086</c:v>
                </c:pt>
                <c:pt idx="2">
                  <c:v>0.8270529711907938</c:v>
                </c:pt>
                <c:pt idx="3">
                  <c:v>0.82757061291939904</c:v>
                </c:pt>
                <c:pt idx="4">
                  <c:v>0.82800519824025587</c:v>
                </c:pt>
                <c:pt idx="5">
                  <c:v>0.8283763700858795</c:v>
                </c:pt>
                <c:pt idx="6">
                  <c:v>0.82869837451369244</c:v>
                </c:pt>
                <c:pt idx="7">
                  <c:v>0.82898174856231244</c:v>
                </c:pt>
                <c:pt idx="8">
                  <c:v>0.82923442336735498</c:v>
                </c:pt>
                <c:pt idx="9">
                  <c:v>0.82946246297546866</c:v>
                </c:pt>
                <c:pt idx="10">
                  <c:v>0.82967057007485889</c:v>
                </c:pt>
                <c:pt idx="11">
                  <c:v>0.82986243901233581</c:v>
                </c:pt>
                <c:pt idx="12">
                  <c:v>0.83004100659619118</c:v>
                </c:pt>
                <c:pt idx="13">
                  <c:v>0.83020863315338489</c:v>
                </c:pt>
                <c:pt idx="14">
                  <c:v>0.83036723515560273</c:v>
                </c:pt>
                <c:pt idx="15">
                  <c:v>0.83051838367390107</c:v>
                </c:pt>
                <c:pt idx="16">
                  <c:v>0.83066337836825177</c:v>
                </c:pt>
                <c:pt idx="17">
                  <c:v>0.83080330372449829</c:v>
                </c:pt>
                <c:pt idx="18">
                  <c:v>0.83093907224909791</c:v>
                </c:pt>
                <c:pt idx="19">
                  <c:v>0.83107145797194415</c:v>
                </c:pt>
                <c:pt idx="20">
                  <c:v>0.83120112267014967</c:v>
                </c:pt>
                <c:pt idx="21">
                  <c:v>0.83132863657085776</c:v>
                </c:pt>
                <c:pt idx="22">
                  <c:v>0.83145449482796918</c:v>
                </c:pt>
                <c:pt idx="23">
                  <c:v>0.83157913073622913</c:v>
                </c:pt>
                <c:pt idx="24">
                  <c:v>0.83170292640633992</c:v>
                </c:pt>
                <c:pt idx="25">
                  <c:v>0.83182622144952301</c:v>
                </c:pt>
                <c:pt idx="26">
                  <c:v>0.83194932009065881</c:v>
                </c:pt>
                <c:pt idx="27">
                  <c:v>0.83207249703286401</c:v>
                </c:pt>
                <c:pt idx="28">
                  <c:v>0.83219600232409974</c:v>
                </c:pt>
                <c:pt idx="29">
                  <c:v>0.83232006542169645</c:v>
                </c:pt>
                <c:pt idx="30">
                  <c:v>0.83244489860898407</c:v>
                </c:pt>
                <c:pt idx="31">
                  <c:v>0.83257069988618571</c:v>
                </c:pt>
                <c:pt idx="32">
                  <c:v>0.8326976554329798</c:v>
                </c:pt>
                <c:pt idx="33">
                  <c:v>0.83282594172087832</c:v>
                </c:pt>
                <c:pt idx="34">
                  <c:v>0.83295572733850809</c:v>
                </c:pt>
                <c:pt idx="35">
                  <c:v>0.8330871745810231</c:v>
                </c:pt>
                <c:pt idx="36">
                  <c:v>0.83322044084551494</c:v>
                </c:pt>
                <c:pt idx="37">
                  <c:v>0.83335567986684045</c:v>
                </c:pt>
                <c:pt idx="38">
                  <c:v>0.83349304282235459</c:v>
                </c:pt>
                <c:pt idx="39">
                  <c:v>0.8336326793292882</c:v>
                </c:pt>
                <c:pt idx="40">
                  <c:v>0.83377473835469651</c:v>
                </c:pt>
                <c:pt idx="41">
                  <c:v>0.8339193690548462</c:v>
                </c:pt>
                <c:pt idx="42">
                  <c:v>0.83406672155843775</c:v>
                </c:pt>
                <c:pt idx="43">
                  <c:v>0.83421694770608423</c:v>
                </c:pt>
                <c:pt idx="44">
                  <c:v>0.83437020175687282</c:v>
                </c:pt>
                <c:pt idx="45">
                  <c:v>0.83452664107157104</c:v>
                </c:pt>
                <c:pt idx="46">
                  <c:v>0.83468642678103722</c:v>
                </c:pt>
                <c:pt idx="47">
                  <c:v>0.83484972444761552</c:v>
                </c:pt>
                <c:pt idx="48">
                  <c:v>0.83501670472670475</c:v>
                </c:pt>
                <c:pt idx="49">
                  <c:v>0.83518754403526085</c:v>
                </c:pt>
                <c:pt idx="50">
                  <c:v>0.83536242523370885</c:v>
                </c:pt>
              </c:numCache>
            </c:numRef>
          </c:yVal>
          <c:smooth val="1"/>
        </c:ser>
        <c:dLbls>
          <c:showLegendKey val="0"/>
          <c:showVal val="0"/>
          <c:showCatName val="0"/>
          <c:showSerName val="0"/>
          <c:showPercent val="0"/>
          <c:showBubbleSize val="0"/>
        </c:dLbls>
        <c:axId val="182933760"/>
        <c:axId val="182956416"/>
      </c:scatterChart>
      <c:valAx>
        <c:axId val="182933760"/>
        <c:scaling>
          <c:orientation val="minMax"/>
        </c:scaling>
        <c:delete val="0"/>
        <c:axPos val="b"/>
        <c:majorGridlines/>
        <c:title>
          <c:tx>
            <c:rich>
              <a:bodyPr/>
              <a:lstStyle/>
              <a:p>
                <a:pPr>
                  <a:defRPr/>
                </a:pPr>
                <a:r>
                  <a:rPr lang="en-US"/>
                  <a:t>VIN (V)</a:t>
                </a:r>
              </a:p>
            </c:rich>
          </c:tx>
          <c:layout/>
          <c:overlay val="0"/>
        </c:title>
        <c:numFmt formatCode="General" sourceLinked="1"/>
        <c:majorTickMark val="out"/>
        <c:minorTickMark val="none"/>
        <c:tickLblPos val="nextTo"/>
        <c:crossAx val="182956416"/>
        <c:crosses val="autoZero"/>
        <c:crossBetween val="midCat"/>
      </c:valAx>
      <c:valAx>
        <c:axId val="182956416"/>
        <c:scaling>
          <c:orientation val="minMax"/>
          <c:min val="0.82000000000000006"/>
        </c:scaling>
        <c:delete val="0"/>
        <c:axPos val="l"/>
        <c:majorGridlines/>
        <c:title>
          <c:tx>
            <c:rich>
              <a:bodyPr rot="-5400000" vert="horz"/>
              <a:lstStyle/>
              <a:p>
                <a:pPr>
                  <a:defRPr/>
                </a:pPr>
                <a:r>
                  <a:rPr lang="en-US"/>
                  <a:t>Efficiency</a:t>
                </a:r>
              </a:p>
            </c:rich>
          </c:tx>
          <c:layout/>
          <c:overlay val="0"/>
        </c:title>
        <c:numFmt formatCode="0.00%" sourceLinked="0"/>
        <c:majorTickMark val="out"/>
        <c:minorTickMark val="none"/>
        <c:tickLblPos val="nextTo"/>
        <c:crossAx val="182933760"/>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Calculated Inductor</a:t>
            </a:r>
          </a:p>
        </c:rich>
      </c:tx>
      <c:overlay val="0"/>
    </c:title>
    <c:autoTitleDeleted val="0"/>
    <c:plotArea>
      <c:layout/>
      <c:scatterChart>
        <c:scatterStyle val="smoothMarker"/>
        <c:varyColors val="0"/>
        <c:ser>
          <c:idx val="0"/>
          <c:order val="0"/>
          <c:tx>
            <c:v>RR-10%</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'Fly-BB_Calc'!$N$4:$N$54</c:f>
              <c:numCache>
                <c:formatCode>##0.00E+0</c:formatCode>
                <c:ptCount val="51"/>
                <c:pt idx="0">
                  <c:v>6.7499999999999974E-5</c:v>
                </c:pt>
                <c:pt idx="1">
                  <c:v>7.3223468648245835E-5</c:v>
                </c:pt>
                <c:pt idx="2">
                  <c:v>7.8696224923783341E-5</c:v>
                </c:pt>
                <c:pt idx="3">
                  <c:v>8.3924348030386091E-5</c:v>
                </c:pt>
                <c:pt idx="4">
                  <c:v>8.8916257747933877E-5</c:v>
                </c:pt>
                <c:pt idx="5">
                  <c:v>9.3681741414899608E-5</c:v>
                </c:pt>
                <c:pt idx="6">
                  <c:v>9.8231292517006753E-5</c:v>
                </c:pt>
                <c:pt idx="7">
                  <c:v>1.0257566342449355E-4</c:v>
                </c:pt>
                <c:pt idx="8">
                  <c:v>1.0672556612096854E-4</c:v>
                </c:pt>
                <c:pt idx="9">
                  <c:v>1.1069147559650119E-4</c:v>
                </c:pt>
                <c:pt idx="10">
                  <c:v>1.1448350459707951E-4</c:v>
                </c:pt>
                <c:pt idx="11">
                  <c:v>1.1811132795581121E-4</c:v>
                </c:pt>
                <c:pt idx="12">
                  <c:v>1.2158414127423823E-4</c:v>
                </c:pt>
                <c:pt idx="13">
                  <c:v>1.2491064325039441E-4</c:v>
                </c:pt>
                <c:pt idx="14">
                  <c:v>1.2809903410753947E-4</c:v>
                </c:pt>
                <c:pt idx="15">
                  <c:v>1.3115702479338842E-4</c:v>
                </c:pt>
                <c:pt idx="16">
                  <c:v>1.3409185318370633E-4</c:v>
                </c:pt>
                <c:pt idx="17">
                  <c:v>1.3691030463341939E-4</c:v>
                </c:pt>
                <c:pt idx="18">
                  <c:v>1.3961873500820601E-4</c:v>
                </c:pt>
                <c:pt idx="19">
                  <c:v>1.4222309489353595E-4</c:v>
                </c:pt>
                <c:pt idx="20">
                  <c:v>1.4472895408163263E-4</c:v>
                </c:pt>
                <c:pt idx="21">
                  <c:v>1.4714152572572025E-4</c:v>
                </c:pt>
                <c:pt idx="22">
                  <c:v>1.4946568975759763E-4</c:v>
                </c:pt>
                <c:pt idx="23">
                  <c:v>1.5170601531210891E-4</c:v>
                </c:pt>
                <c:pt idx="24">
                  <c:v>1.5386678200692038E-4</c:v>
                </c:pt>
                <c:pt idx="25">
                  <c:v>1.5595199999999997E-4</c:v>
                </c:pt>
                <c:pt idx="26">
                  <c:v>1.5796542879885218E-4</c:v>
                </c:pt>
                <c:pt idx="27">
                  <c:v>1.5991059483106456E-4</c:v>
                </c:pt>
                <c:pt idx="28">
                  <c:v>1.6179080780955144E-4</c:v>
                </c:pt>
                <c:pt idx="29">
                  <c:v>1.6360917594129978E-4</c:v>
                </c:pt>
                <c:pt idx="30">
                  <c:v>1.653686200378072E-4</c:v>
                </c:pt>
                <c:pt idx="31">
                  <c:v>1.6707188659049105E-4</c:v>
                </c:pt>
                <c:pt idx="32">
                  <c:v>1.6872155987640835E-4</c:v>
                </c:pt>
                <c:pt idx="33">
                  <c:v>1.7032007315957929E-4</c:v>
                </c:pt>
                <c:pt idx="34">
                  <c:v>1.7186971905173602E-4</c:v>
                </c:pt>
                <c:pt idx="35">
                  <c:v>1.7337265909389942E-4</c:v>
                </c:pt>
                <c:pt idx="36">
                  <c:v>1.7483093261718747E-4</c:v>
                </c:pt>
                <c:pt idx="37">
                  <c:v>1.7624646493792222E-4</c:v>
                </c:pt>
                <c:pt idx="38">
                  <c:v>1.7762107493861395E-4</c:v>
                </c:pt>
                <c:pt idx="39">
                  <c:v>1.7895648208288991E-4</c:v>
                </c:pt>
                <c:pt idx="40">
                  <c:v>1.8025431290898279E-4</c:v>
                </c:pt>
                <c:pt idx="41">
                  <c:v>1.8151610704305734E-4</c:v>
                </c:pt>
                <c:pt idx="42">
                  <c:v>1.8274332277048433E-4</c:v>
                </c:pt>
                <c:pt idx="43">
                  <c:v>1.8393734220016505E-4</c:v>
                </c:pt>
                <c:pt idx="44">
                  <c:v>1.8509947605420418E-4</c:v>
                </c:pt>
                <c:pt idx="45">
                  <c:v>1.8623096811261133E-4</c:v>
                </c:pt>
                <c:pt idx="46">
                  <c:v>1.8733299934028106E-4</c:v>
                </c:pt>
                <c:pt idx="47">
                  <c:v>1.884066917212602E-4</c:v>
                </c:pt>
                <c:pt idx="48">
                  <c:v>1.8945311182324166E-4</c:v>
                </c:pt>
                <c:pt idx="49">
                  <c:v>1.9047327411332289E-4</c:v>
                </c:pt>
                <c:pt idx="50">
                  <c:v>1.9146814404432132E-4</c:v>
                </c:pt>
              </c:numCache>
            </c:numRef>
          </c:yVal>
          <c:smooth val="1"/>
        </c:ser>
        <c:ser>
          <c:idx val="1"/>
          <c:order val="1"/>
          <c:tx>
            <c:v>RR</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'Fly-BB_Calc'!$O$4:$O$54</c:f>
              <c:numCache>
                <c:formatCode>##0.00E+0</c:formatCode>
                <c:ptCount val="51"/>
                <c:pt idx="0">
                  <c:v>6.0749999999999986E-5</c:v>
                </c:pt>
                <c:pt idx="1">
                  <c:v>6.5901121783421256E-5</c:v>
                </c:pt>
                <c:pt idx="2">
                  <c:v>7.0826602431405016E-5</c:v>
                </c:pt>
                <c:pt idx="3">
                  <c:v>7.5531913227347482E-5</c:v>
                </c:pt>
                <c:pt idx="4">
                  <c:v>8.0024631973140491E-5</c:v>
                </c:pt>
                <c:pt idx="5">
                  <c:v>8.431356727340966E-5</c:v>
                </c:pt>
                <c:pt idx="6">
                  <c:v>8.8408163265306085E-5</c:v>
                </c:pt>
                <c:pt idx="7">
                  <c:v>9.2318097082044206E-5</c:v>
                </c:pt>
                <c:pt idx="8">
                  <c:v>9.6053009508871687E-5</c:v>
                </c:pt>
                <c:pt idx="9">
                  <c:v>9.9622328036851076E-5</c:v>
                </c:pt>
                <c:pt idx="10">
                  <c:v>1.0303515413737157E-4</c:v>
                </c:pt>
                <c:pt idx="11">
                  <c:v>1.0630019516023011E-4</c:v>
                </c:pt>
                <c:pt idx="12">
                  <c:v>1.0942572714681442E-4</c:v>
                </c:pt>
                <c:pt idx="13">
                  <c:v>1.1241957892535496E-4</c:v>
                </c:pt>
                <c:pt idx="14">
                  <c:v>1.1528913069678552E-4</c:v>
                </c:pt>
                <c:pt idx="15">
                  <c:v>1.1804132231404957E-4</c:v>
                </c:pt>
                <c:pt idx="16">
                  <c:v>1.2068266786533572E-4</c:v>
                </c:pt>
                <c:pt idx="17">
                  <c:v>1.2321927417007744E-4</c:v>
                </c:pt>
                <c:pt idx="18">
                  <c:v>1.2565686150738543E-4</c:v>
                </c:pt>
                <c:pt idx="19">
                  <c:v>1.2800078540418236E-4</c:v>
                </c:pt>
                <c:pt idx="20">
                  <c:v>1.3025605867346938E-4</c:v>
                </c:pt>
                <c:pt idx="21">
                  <c:v>1.3242737315314823E-4</c:v>
                </c:pt>
                <c:pt idx="22">
                  <c:v>1.3451912078183792E-4</c:v>
                </c:pt>
                <c:pt idx="23">
                  <c:v>1.3653541378089805E-4</c:v>
                </c:pt>
                <c:pt idx="24">
                  <c:v>1.3848010380622839E-4</c:v>
                </c:pt>
                <c:pt idx="25">
                  <c:v>1.4035679999999998E-4</c:v>
                </c:pt>
                <c:pt idx="26">
                  <c:v>1.4216888591896698E-4</c:v>
                </c:pt>
                <c:pt idx="27">
                  <c:v>1.439195353479581E-4</c:v>
                </c:pt>
                <c:pt idx="28">
                  <c:v>1.4561172702859629E-4</c:v>
                </c:pt>
                <c:pt idx="29">
                  <c:v>1.4724825834716983E-4</c:v>
                </c:pt>
                <c:pt idx="30">
                  <c:v>1.4883175803402646E-4</c:v>
                </c:pt>
                <c:pt idx="31">
                  <c:v>1.5036469793144197E-4</c:v>
                </c:pt>
                <c:pt idx="32">
                  <c:v>1.5184940388876753E-4</c:v>
                </c:pt>
                <c:pt idx="33">
                  <c:v>1.5328806584362139E-4</c:v>
                </c:pt>
                <c:pt idx="34">
                  <c:v>1.5468274714656243E-4</c:v>
                </c:pt>
                <c:pt idx="35">
                  <c:v>1.5603539318450951E-4</c:v>
                </c:pt>
                <c:pt idx="36">
                  <c:v>1.5734783935546877E-4</c:v>
                </c:pt>
                <c:pt idx="37">
                  <c:v>1.5862181844413E-4</c:v>
                </c:pt>
                <c:pt idx="38">
                  <c:v>1.5985896744475254E-4</c:v>
                </c:pt>
                <c:pt idx="39">
                  <c:v>1.6106083387460094E-4</c:v>
                </c:pt>
                <c:pt idx="40">
                  <c:v>1.6222888161808452E-4</c:v>
                </c:pt>
                <c:pt idx="41">
                  <c:v>1.6336449633875158E-4</c:v>
                </c:pt>
                <c:pt idx="42">
                  <c:v>1.6446899049343594E-4</c:v>
                </c:pt>
                <c:pt idx="43">
                  <c:v>1.6554360798014855E-4</c:v>
                </c:pt>
                <c:pt idx="44">
                  <c:v>1.6658952844878376E-4</c:v>
                </c:pt>
                <c:pt idx="45">
                  <c:v>1.6760787130135017E-4</c:v>
                </c:pt>
                <c:pt idx="46">
                  <c:v>1.6859969940625298E-4</c:v>
                </c:pt>
                <c:pt idx="47">
                  <c:v>1.6956602254913417E-4</c:v>
                </c:pt>
                <c:pt idx="48">
                  <c:v>1.705078006409175E-4</c:v>
                </c:pt>
                <c:pt idx="49">
                  <c:v>1.7142594670199062E-4</c:v>
                </c:pt>
                <c:pt idx="50">
                  <c:v>1.7232132963988922E-4</c:v>
                </c:pt>
              </c:numCache>
            </c:numRef>
          </c:yVal>
          <c:smooth val="1"/>
        </c:ser>
        <c:ser>
          <c:idx val="2"/>
          <c:order val="2"/>
          <c:tx>
            <c:v>RR+10%</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'Fly-BB_Calc'!$P$4:$P$54</c:f>
              <c:numCache>
                <c:formatCode>##0.00E+0</c:formatCode>
                <c:ptCount val="51"/>
                <c:pt idx="0">
                  <c:v>5.5227272727272709E-5</c:v>
                </c:pt>
                <c:pt idx="1">
                  <c:v>5.991011071220114E-5</c:v>
                </c:pt>
                <c:pt idx="2">
                  <c:v>6.4387820392186373E-5</c:v>
                </c:pt>
                <c:pt idx="3">
                  <c:v>6.8665375661224994E-5</c:v>
                </c:pt>
                <c:pt idx="4">
                  <c:v>7.2749665430127725E-5</c:v>
                </c:pt>
                <c:pt idx="5">
                  <c:v>7.66486975212815E-5</c:v>
                </c:pt>
                <c:pt idx="6">
                  <c:v>8.0371057513914631E-5</c:v>
                </c:pt>
                <c:pt idx="7">
                  <c:v>8.3925542801858359E-5</c:v>
                </c:pt>
                <c:pt idx="8">
                  <c:v>8.732091773533789E-5</c:v>
                </c:pt>
                <c:pt idx="9">
                  <c:v>9.0565752760773702E-5</c:v>
                </c:pt>
                <c:pt idx="10">
                  <c:v>9.366832194306506E-5</c:v>
                </c:pt>
                <c:pt idx="11">
                  <c:v>9.663654105475463E-5</c:v>
                </c:pt>
                <c:pt idx="12">
                  <c:v>9.9477933769831283E-5</c:v>
                </c:pt>
                <c:pt idx="13">
                  <c:v>1.0219961720486815E-4</c:v>
                </c:pt>
                <c:pt idx="14">
                  <c:v>1.0480830063344138E-4</c:v>
                </c:pt>
                <c:pt idx="15">
                  <c:v>1.0731029301277233E-4</c:v>
                </c:pt>
                <c:pt idx="16">
                  <c:v>1.0971151624121427E-4</c:v>
                </c:pt>
                <c:pt idx="17">
                  <c:v>1.1201752197279768E-4</c:v>
                </c:pt>
                <c:pt idx="18">
                  <c:v>1.1423351046125949E-4</c:v>
                </c:pt>
                <c:pt idx="19">
                  <c:v>1.163643503674385E-4</c:v>
                </c:pt>
                <c:pt idx="20">
                  <c:v>1.1841459879406308E-4</c:v>
                </c:pt>
                <c:pt idx="21">
                  <c:v>1.2038852104831657E-4</c:v>
                </c:pt>
                <c:pt idx="22">
                  <c:v>1.2229010980167079E-4</c:v>
                </c:pt>
                <c:pt idx="23">
                  <c:v>1.2412310343718004E-4</c:v>
                </c:pt>
                <c:pt idx="24">
                  <c:v>1.2589100346020762E-4</c:v>
                </c:pt>
                <c:pt idx="25">
                  <c:v>1.275970909090909E-4</c:v>
                </c:pt>
                <c:pt idx="26">
                  <c:v>1.2924444174451544E-4</c:v>
                </c:pt>
                <c:pt idx="27">
                  <c:v>1.3083594122541647E-4</c:v>
                </c:pt>
                <c:pt idx="28">
                  <c:v>1.3237429729872388E-4</c:v>
                </c:pt>
                <c:pt idx="29">
                  <c:v>1.3386205304288164E-4</c:v>
                </c:pt>
                <c:pt idx="30">
                  <c:v>1.3530159821275133E-4</c:v>
                </c:pt>
                <c:pt idx="31">
                  <c:v>1.3669517993767451E-4</c:v>
                </c:pt>
                <c:pt idx="32">
                  <c:v>1.3804491262615228E-4</c:v>
                </c:pt>
                <c:pt idx="33">
                  <c:v>1.3935278713056489E-4</c:v>
                </c:pt>
                <c:pt idx="34">
                  <c:v>1.4062067922414762E-4</c:v>
                </c:pt>
                <c:pt idx="35">
                  <c:v>1.4185035744046317E-4</c:v>
                </c:pt>
                <c:pt idx="36">
                  <c:v>1.430434903231534E-4</c:v>
                </c:pt>
                <c:pt idx="37">
                  <c:v>1.4420165313102729E-4</c:v>
                </c:pt>
                <c:pt idx="38">
                  <c:v>1.4532633404068412E-4</c:v>
                </c:pt>
                <c:pt idx="39">
                  <c:v>1.4641893988600084E-4</c:v>
                </c:pt>
                <c:pt idx="40">
                  <c:v>1.4748080147098592E-4</c:v>
                </c:pt>
                <c:pt idx="41">
                  <c:v>1.4851317848977417E-4</c:v>
                </c:pt>
                <c:pt idx="42">
                  <c:v>1.4951726408494171E-4</c:v>
                </c:pt>
                <c:pt idx="43">
                  <c:v>1.5049418907286231E-4</c:v>
                </c:pt>
                <c:pt idx="44">
                  <c:v>1.514450258625307E-4</c:v>
                </c:pt>
                <c:pt idx="45">
                  <c:v>1.5237079209213652E-4</c:v>
                </c:pt>
                <c:pt idx="46">
                  <c:v>1.5327245400568451E-4</c:v>
                </c:pt>
                <c:pt idx="47">
                  <c:v>1.5415092959012198E-4</c:v>
                </c:pt>
                <c:pt idx="48">
                  <c:v>1.5500709149174317E-4</c:v>
                </c:pt>
                <c:pt idx="49">
                  <c:v>1.5584176972908235E-4</c:v>
                </c:pt>
                <c:pt idx="50">
                  <c:v>1.5665575421808109E-4</c:v>
                </c:pt>
              </c:numCache>
            </c:numRef>
          </c:yVal>
          <c:smooth val="1"/>
        </c:ser>
        <c:dLbls>
          <c:showLegendKey val="0"/>
          <c:showVal val="0"/>
          <c:showCatName val="0"/>
          <c:showSerName val="0"/>
          <c:showPercent val="0"/>
          <c:showBubbleSize val="0"/>
        </c:dLbls>
        <c:axId val="210983552"/>
        <c:axId val="210993536"/>
      </c:scatterChart>
      <c:valAx>
        <c:axId val="210983552"/>
        <c:scaling>
          <c:orientation val="minMax"/>
        </c:scaling>
        <c:delete val="0"/>
        <c:axPos val="b"/>
        <c:numFmt formatCode="General" sourceLinked="1"/>
        <c:majorTickMark val="out"/>
        <c:minorTickMark val="none"/>
        <c:tickLblPos val="nextTo"/>
        <c:crossAx val="210993536"/>
        <c:crosses val="autoZero"/>
        <c:crossBetween val="midCat"/>
      </c:valAx>
      <c:valAx>
        <c:axId val="210993536"/>
        <c:scaling>
          <c:orientation val="minMax"/>
        </c:scaling>
        <c:delete val="0"/>
        <c:axPos val="l"/>
        <c:majorGridlines/>
        <c:numFmt formatCode="##0.00E+0" sourceLinked="1"/>
        <c:majorTickMark val="out"/>
        <c:minorTickMark val="none"/>
        <c:tickLblPos val="nextTo"/>
        <c:crossAx val="21098355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ILavg Full Load</a:t>
            </a:r>
          </a:p>
        </c:rich>
      </c:tx>
      <c:overlay val="0"/>
    </c:title>
    <c:autoTitleDeleted val="0"/>
    <c:plotArea>
      <c:layout/>
      <c:scatterChart>
        <c:scatterStyle val="smoothMarker"/>
        <c:varyColors val="0"/>
        <c:ser>
          <c:idx val="0"/>
          <c:order val="0"/>
          <c:tx>
            <c:v>Ilavg</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'Fly-BB_Calc'!$R$4:$R$54</c:f>
              <c:numCache>
                <c:formatCode>General</c:formatCode>
                <c:ptCount val="51"/>
                <c:pt idx="0">
                  <c:v>1.2345679012345681</c:v>
                </c:pt>
                <c:pt idx="1">
                  <c:v>1.1853366659092632</c:v>
                </c:pt>
                <c:pt idx="2">
                  <c:v>1.14337822671156</c:v>
                </c:pt>
                <c:pt idx="3">
                  <c:v>1.1071918479325886</c:v>
                </c:pt>
                <c:pt idx="4">
                  <c:v>1.0756631218677424</c:v>
                </c:pt>
                <c:pt idx="5">
                  <c:v>1.0479471719781797</c:v>
                </c:pt>
                <c:pt idx="6">
                  <c:v>1.0233918128654973</c:v>
                </c:pt>
                <c:pt idx="7">
                  <c:v>1.0014855796321909</c:v>
                </c:pt>
                <c:pt idx="8">
                  <c:v>0.98182171672985308</c:v>
                </c:pt>
                <c:pt idx="9">
                  <c:v>0.96407268691912895</c:v>
                </c:pt>
                <c:pt idx="10">
                  <c:v>0.9479717813051145</c:v>
                </c:pt>
                <c:pt idx="11">
                  <c:v>0.93329962499473307</c:v>
                </c:pt>
                <c:pt idx="12">
                  <c:v>0.91987412248850153</c:v>
                </c:pt>
                <c:pt idx="13">
                  <c:v>0.90754286156584996</c:v>
                </c:pt>
                <c:pt idx="14">
                  <c:v>0.89617730179979171</c:v>
                </c:pt>
                <c:pt idx="15">
                  <c:v>0.88566827697262485</c:v>
                </c:pt>
                <c:pt idx="16">
                  <c:v>0.87592247741223539</c:v>
                </c:pt>
                <c:pt idx="17">
                  <c:v>0.86685967189111846</c:v>
                </c:pt>
                <c:pt idx="18">
                  <c:v>0.85841049382716039</c:v>
                </c:pt>
                <c:pt idx="19">
                  <c:v>0.85051466243741636</c:v>
                </c:pt>
                <c:pt idx="20">
                  <c:v>0.84311954230653419</c:v>
                </c:pt>
                <c:pt idx="21">
                  <c:v>0.83617896856667528</c:v>
                </c:pt>
                <c:pt idx="22">
                  <c:v>0.82965228225167054</c:v>
                </c:pt>
                <c:pt idx="23">
                  <c:v>0.82350353322884873</c:v>
                </c:pt>
                <c:pt idx="24">
                  <c:v>0.81770081770081759</c:v>
                </c:pt>
                <c:pt idx="25">
                  <c:v>0.81221572449642621</c:v>
                </c:pt>
                <c:pt idx="26">
                  <c:v>0.80702286986439997</c:v>
                </c:pt>
                <c:pt idx="27">
                  <c:v>0.80209950469431501</c:v>
                </c:pt>
                <c:pt idx="28">
                  <c:v>0.79742518134217233</c:v>
                </c:pt>
                <c:pt idx="29">
                  <c:v>0.79298146976831352</c:v>
                </c:pt>
                <c:pt idx="30">
                  <c:v>0.78875171467764049</c:v>
                </c:pt>
                <c:pt idx="31">
                  <c:v>0.78472082691491973</c:v>
                </c:pt>
                <c:pt idx="32">
                  <c:v>0.78087510360773016</c:v>
                </c:pt>
                <c:pt idx="33">
                  <c:v>0.77720207253886009</c:v>
                </c:pt>
                <c:pt idx="34">
                  <c:v>0.77369035702369038</c:v>
                </c:pt>
                <c:pt idx="35">
                  <c:v>0.77032955820834592</c:v>
                </c:pt>
                <c:pt idx="36">
                  <c:v>0.76711015222342083</c:v>
                </c:pt>
                <c:pt idx="37">
                  <c:v>0.76402340005086977</c:v>
                </c:pt>
                <c:pt idx="38">
                  <c:v>0.76106126830764498</c:v>
                </c:pt>
                <c:pt idx="39">
                  <c:v>0.75821635943401555</c:v>
                </c:pt>
                <c:pt idx="40">
                  <c:v>0.75548185000921309</c:v>
                </c:pt>
                <c:pt idx="41">
                  <c:v>0.75285143611156291</c:v>
                </c:pt>
                <c:pt idx="42">
                  <c:v>0.75031928480204346</c:v>
                </c:pt>
                <c:pt idx="43">
                  <c:v>0.74787999094534119</c:v>
                </c:pt>
                <c:pt idx="44">
                  <c:v>0.74552853869566704</c:v>
                </c:pt>
                <c:pt idx="45">
                  <c:v>0.74326026706979087</c:v>
                </c:pt>
                <c:pt idx="46">
                  <c:v>0.74107083911005478</c:v>
                </c:pt>
                <c:pt idx="47">
                  <c:v>0.73895621420807578</c:v>
                </c:pt>
                <c:pt idx="48">
                  <c:v>0.73691262321753281</c:v>
                </c:pt>
                <c:pt idx="49">
                  <c:v>0.73493654603353886</c:v>
                </c:pt>
                <c:pt idx="50">
                  <c:v>0.73302469135802462</c:v>
                </c:pt>
              </c:numCache>
            </c:numRef>
          </c:yVal>
          <c:smooth val="1"/>
        </c:ser>
        <c:dLbls>
          <c:showLegendKey val="0"/>
          <c:showVal val="0"/>
          <c:showCatName val="0"/>
          <c:showSerName val="0"/>
          <c:showPercent val="0"/>
          <c:showBubbleSize val="0"/>
        </c:dLbls>
        <c:axId val="211018112"/>
        <c:axId val="211019648"/>
      </c:scatterChart>
      <c:valAx>
        <c:axId val="211018112"/>
        <c:scaling>
          <c:orientation val="minMax"/>
        </c:scaling>
        <c:delete val="0"/>
        <c:axPos val="b"/>
        <c:numFmt formatCode="General" sourceLinked="1"/>
        <c:majorTickMark val="out"/>
        <c:minorTickMark val="none"/>
        <c:tickLblPos val="nextTo"/>
        <c:crossAx val="211019648"/>
        <c:crosses val="autoZero"/>
        <c:crossBetween val="midCat"/>
      </c:valAx>
      <c:valAx>
        <c:axId val="211019648"/>
        <c:scaling>
          <c:orientation val="minMax"/>
        </c:scaling>
        <c:delete val="0"/>
        <c:axPos val="l"/>
        <c:majorGridlines/>
        <c:numFmt formatCode="General" sourceLinked="1"/>
        <c:majorTickMark val="out"/>
        <c:minorTickMark val="none"/>
        <c:tickLblPos val="nextTo"/>
        <c:crossAx val="21101811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Peak</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'Fly-BB_Calc'!$T$4:$T$54</c:f>
              <c:numCache>
                <c:formatCode>General</c:formatCode>
                <c:ptCount val="51"/>
                <c:pt idx="0">
                  <c:v>1.2862920391656025</c:v>
                </c:pt>
                <c:pt idx="1">
                  <c:v>1.2392090907192224</c:v>
                </c:pt>
                <c:pt idx="2">
                  <c:v>1.199227602637094</c:v>
                </c:pt>
                <c:pt idx="3">
                  <c:v>1.1648665504043616</c:v>
                </c:pt>
                <c:pt idx="4">
                  <c:v>1.135028325629498</c:v>
                </c:pt>
                <c:pt idx="5">
                  <c:v>1.1088824577599463</c:v>
                </c:pt>
                <c:pt idx="6">
                  <c:v>1.0857891856076975</c:v>
                </c:pt>
                <c:pt idx="7">
                  <c:v>1.0652478161609853</c:v>
                </c:pt>
                <c:pt idx="8">
                  <c:v>1.0468609792767973</c:v>
                </c:pt>
                <c:pt idx="9">
                  <c:v>1.0303093527588709</c:v>
                </c:pt>
                <c:pt idx="10">
                  <c:v>1.0153334493083221</c:v>
                </c:pt>
                <c:pt idx="11">
                  <c:v>1.001720267946395</c:v>
                </c:pt>
                <c:pt idx="12">
                  <c:v>0.98929336023804781</c:v>
                </c:pt>
                <c:pt idx="13">
                  <c:v>0.97790533491339793</c:v>
                </c:pt>
                <c:pt idx="14">
                  <c:v>0.96743213081681845</c:v>
                </c:pt>
                <c:pt idx="15">
                  <c:v>0.95776859045224871</c:v>
                </c:pt>
                <c:pt idx="16">
                  <c:v>0.94882500252763047</c:v>
                </c:pt>
                <c:pt idx="17">
                  <c:v>0.9405243750481771</c:v>
                </c:pt>
                <c:pt idx="18">
                  <c:v>0.93280026523359205</c:v>
                </c:pt>
                <c:pt idx="19">
                  <c:v>0.92559503815449384</c:v>
                </c:pt>
                <c:pt idx="20">
                  <c:v>0.91885845856269177</c:v>
                </c:pt>
                <c:pt idx="21">
                  <c:v>0.91254654394129164</c:v>
                </c:pt>
                <c:pt idx="22">
                  <c:v>0.90662062401935328</c:v>
                </c:pt>
                <c:pt idx="23">
                  <c:v>0.9010465647181124</c:v>
                </c:pt>
                <c:pt idx="24">
                  <c:v>0.89579412398885006</c:v>
                </c:pt>
                <c:pt idx="25">
                  <c:v>0.89083641415159864</c:v>
                </c:pt>
                <c:pt idx="26">
                  <c:v>0.88614945077457186</c:v>
                </c:pt>
                <c:pt idx="27">
                  <c:v>0.88171177229323439</c:v>
                </c:pt>
                <c:pt idx="28">
                  <c:v>0.87750411777756909</c:v>
                </c:pt>
                <c:pt idx="29">
                  <c:v>0.87350915275104668</c:v>
                </c:pt>
                <c:pt idx="30">
                  <c:v>0.86971123491752056</c:v>
                </c:pt>
                <c:pt idx="31">
                  <c:v>0.86609621319048746</c:v>
                </c:pt>
                <c:pt idx="32">
                  <c:v>0.86265125463836012</c:v>
                </c:pt>
                <c:pt idx="33">
                  <c:v>0.85936469493136758</c:v>
                </c:pt>
                <c:pt idx="34">
                  <c:v>0.85622590865488291</c:v>
                </c:pt>
                <c:pt idx="35">
                  <c:v>0.85322519648192441</c:v>
                </c:pt>
                <c:pt idx="36">
                  <c:v>0.85035368670617939</c:v>
                </c:pt>
                <c:pt idx="37">
                  <c:v>0.84760324905082562</c:v>
                </c:pt>
                <c:pt idx="38">
                  <c:v>0.84496641900685454</c:v>
                </c:pt>
                <c:pt idx="39">
                  <c:v>0.84243633123250294</c:v>
                </c:pt>
                <c:pt idx="40">
                  <c:v>0.8400066607745621</c:v>
                </c:pt>
                <c:pt idx="41">
                  <c:v>0.83767157106209489</c:v>
                </c:pt>
                <c:pt idx="42">
                  <c:v>0.83542566778076688</c:v>
                </c:pt>
                <c:pt idx="43">
                  <c:v>0.83326395786758434</c:v>
                </c:pt>
                <c:pt idx="44">
                  <c:v>0.83118181297595806</c:v>
                </c:pt>
                <c:pt idx="45">
                  <c:v>0.82917493685354304</c:v>
                </c:pt>
                <c:pt idx="46">
                  <c:v>0.82723933615329259</c:v>
                </c:pt>
                <c:pt idx="47">
                  <c:v>0.82537129426409606</c:v>
                </c:pt>
                <c:pt idx="48">
                  <c:v>0.82356734780329188</c:v>
                </c:pt>
                <c:pt idx="49">
                  <c:v>0.82182426546091158</c:v>
                </c:pt>
                <c:pt idx="50">
                  <c:v>0.8201390289260827</c:v>
                </c:pt>
              </c:numCache>
            </c:numRef>
          </c:yVal>
          <c:smooth val="1"/>
        </c:ser>
        <c:dLbls>
          <c:showLegendKey val="0"/>
          <c:showVal val="0"/>
          <c:showCatName val="0"/>
          <c:showSerName val="0"/>
          <c:showPercent val="0"/>
          <c:showBubbleSize val="0"/>
        </c:dLbls>
        <c:axId val="210511744"/>
        <c:axId val="210513280"/>
      </c:scatterChart>
      <c:valAx>
        <c:axId val="210511744"/>
        <c:scaling>
          <c:orientation val="minMax"/>
        </c:scaling>
        <c:delete val="0"/>
        <c:axPos val="b"/>
        <c:numFmt formatCode="General" sourceLinked="1"/>
        <c:majorTickMark val="out"/>
        <c:minorTickMark val="none"/>
        <c:tickLblPos val="nextTo"/>
        <c:crossAx val="210513280"/>
        <c:crosses val="autoZero"/>
        <c:crossBetween val="midCat"/>
      </c:valAx>
      <c:valAx>
        <c:axId val="210513280"/>
        <c:scaling>
          <c:orientation val="minMax"/>
        </c:scaling>
        <c:delete val="0"/>
        <c:axPos val="l"/>
        <c:majorGridlines/>
        <c:numFmt formatCode="General" sourceLinked="1"/>
        <c:majorTickMark val="out"/>
        <c:minorTickMark val="none"/>
        <c:tickLblPos val="nextTo"/>
        <c:crossAx val="2105117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RMS</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'Fly-BB_Calc'!$V$4:$V$54</c:f>
              <c:numCache>
                <c:formatCode>0.0000</c:formatCode>
                <c:ptCount val="51"/>
                <c:pt idx="0">
                  <c:v>0.87322668827753314</c:v>
                </c:pt>
                <c:pt idx="1">
                  <c:v>0.82085158702628658</c:v>
                </c:pt>
                <c:pt idx="2">
                  <c:v>0.7758886119483569</c:v>
                </c:pt>
                <c:pt idx="3">
                  <c:v>0.73682606182331623</c:v>
                </c:pt>
                <c:pt idx="4">
                  <c:v>0.70253980017638984</c:v>
                </c:pt>
                <c:pt idx="5">
                  <c:v>0.67217627894471166</c:v>
                </c:pt>
                <c:pt idx="6">
                  <c:v>0.64507555031522179</c:v>
                </c:pt>
                <c:pt idx="7">
                  <c:v>0.62071917301171853</c:v>
                </c:pt>
                <c:pt idx="8">
                  <c:v>0.59869409823990394</c:v>
                </c:pt>
                <c:pt idx="9">
                  <c:v>0.5786670920868624</c:v>
                </c:pt>
                <c:pt idx="10">
                  <c:v>0.560366272324748</c:v>
                </c:pt>
                <c:pt idx="11">
                  <c:v>0.54356755177622673</c:v>
                </c:pt>
                <c:pt idx="12">
                  <c:v>0.52808453044795023</c:v>
                </c:pt>
                <c:pt idx="13">
                  <c:v>0.513760853660581</c:v>
                </c:pt>
                <c:pt idx="14">
                  <c:v>0.50046436107436421</c:v>
                </c:pt>
                <c:pt idx="15">
                  <c:v>0.4880825548765616</c:v>
                </c:pt>
                <c:pt idx="16">
                  <c:v>0.47651905232834713</c:v>
                </c:pt>
                <c:pt idx="17">
                  <c:v>0.46569078163754041</c:v>
                </c:pt>
                <c:pt idx="18">
                  <c:v>0.45552574533774937</c:v>
                </c:pt>
                <c:pt idx="19">
                  <c:v>0.44596122136127037</c:v>
                </c:pt>
                <c:pt idx="20">
                  <c:v>0.43694230488021574</c:v>
                </c:pt>
                <c:pt idx="21">
                  <c:v>0.42842071778806673</c:v>
                </c:pt>
                <c:pt idx="22">
                  <c:v>0.42035383011097471</c:v>
                </c:pt>
                <c:pt idx="23">
                  <c:v>0.41270385052101172</c:v>
                </c:pt>
                <c:pt idx="24">
                  <c:v>0.40543715274730235</c:v>
                </c:pt>
                <c:pt idx="25">
                  <c:v>0.39852371193690533</c:v>
                </c:pt>
                <c:pt idx="26">
                  <c:v>0.39193663053576017</c:v>
                </c:pt>
                <c:pt idx="27">
                  <c:v>0.38565173749144699</c:v>
                </c:pt>
                <c:pt idx="28">
                  <c:v>0.37964724784914311</c:v>
                </c:pt>
                <c:pt idx="29">
                  <c:v>0.37390347235702875</c:v>
                </c:pt>
                <c:pt idx="30">
                  <c:v>0.36840256869179394</c:v>
                </c:pt>
                <c:pt idx="31">
                  <c:v>0.36312832748808815</c:v>
                </c:pt>
                <c:pt idx="32">
                  <c:v>0.35806598760436259</c:v>
                </c:pt>
                <c:pt idx="33">
                  <c:v>0.35320207605436876</c:v>
                </c:pt>
                <c:pt idx="34">
                  <c:v>0.34852426883379617</c:v>
                </c:pt>
                <c:pt idx="35">
                  <c:v>0.34402126951737017</c:v>
                </c:pt>
                <c:pt idx="36">
                  <c:v>0.33968270302557246</c:v>
                </c:pt>
                <c:pt idx="37">
                  <c:v>0.33549902238711504</c:v>
                </c:pt>
                <c:pt idx="38">
                  <c:v>0.33146142667290729</c:v>
                </c:pt>
                <c:pt idx="39">
                  <c:v>0.32756178856476542</c:v>
                </c:pt>
                <c:pt idx="40">
                  <c:v>0.32379259025958113</c:v>
                </c:pt>
                <c:pt idx="41">
                  <c:v>0.32014686660656927</c:v>
                </c:pt>
                <c:pt idx="42">
                  <c:v>0.31661815453912784</c:v>
                </c:pt>
                <c:pt idx="43">
                  <c:v>0.31320044799979979</c:v>
                </c:pt>
                <c:pt idx="44">
                  <c:v>0.30988815767166555</c:v>
                </c:pt>
                <c:pt idx="45">
                  <c:v>0.30667607492612076</c:v>
                </c:pt>
                <c:pt idx="46">
                  <c:v>0.30355933947856417</c:v>
                </c:pt>
                <c:pt idx="47">
                  <c:v>0.30053341031259884</c:v>
                </c:pt>
                <c:pt idx="48">
                  <c:v>0.29759403949202923</c:v>
                </c:pt>
                <c:pt idx="49">
                  <c:v>0.29473724852992927</c:v>
                </c:pt>
                <c:pt idx="50">
                  <c:v>0.29195930702677181</c:v>
                </c:pt>
              </c:numCache>
            </c:numRef>
          </c:yVal>
          <c:smooth val="1"/>
        </c:ser>
        <c:dLbls>
          <c:showLegendKey val="0"/>
          <c:showVal val="0"/>
          <c:showCatName val="0"/>
          <c:showSerName val="0"/>
          <c:showPercent val="0"/>
          <c:showBubbleSize val="0"/>
        </c:dLbls>
        <c:axId val="210541568"/>
        <c:axId val="210555648"/>
      </c:scatterChart>
      <c:valAx>
        <c:axId val="210541568"/>
        <c:scaling>
          <c:orientation val="minMax"/>
        </c:scaling>
        <c:delete val="0"/>
        <c:axPos val="b"/>
        <c:numFmt formatCode="General" sourceLinked="1"/>
        <c:majorTickMark val="out"/>
        <c:minorTickMark val="none"/>
        <c:tickLblPos val="nextTo"/>
        <c:crossAx val="210555648"/>
        <c:crosses val="autoZero"/>
        <c:crossBetween val="midCat"/>
      </c:valAx>
      <c:valAx>
        <c:axId val="210555648"/>
        <c:scaling>
          <c:orientation val="minMax"/>
        </c:scaling>
        <c:delete val="0"/>
        <c:axPos val="l"/>
        <c:majorGridlines/>
        <c:numFmt formatCode="0.0000" sourceLinked="1"/>
        <c:majorTickMark val="out"/>
        <c:minorTickMark val="none"/>
        <c:tickLblPos val="nextTo"/>
        <c:crossAx val="2105415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Eff</c:v>
          </c:tx>
          <c:marker>
            <c:symbol val="none"/>
          </c:marker>
          <c:xVal>
            <c:numRef>
              <c:f>'Fly-BB_Calc'!$L$4:$L$54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'Fly-BB_Calc'!$CU$4:$CU$54</c:f>
              <c:numCache>
                <c:formatCode>General</c:formatCode>
                <c:ptCount val="51"/>
                <c:pt idx="0">
                  <c:v>0.8771262792327299</c:v>
                </c:pt>
                <c:pt idx="1">
                  <c:v>0.87967628916316221</c:v>
                </c:pt>
                <c:pt idx="2">
                  <c:v>0.88148992795290071</c:v>
                </c:pt>
                <c:pt idx="3">
                  <c:v>0.88275453457755038</c:v>
                </c:pt>
                <c:pt idx="4">
                  <c:v>0.88360163289992566</c:v>
                </c:pt>
                <c:pt idx="5">
                  <c:v>0.88412572414269053</c:v>
                </c:pt>
                <c:pt idx="6">
                  <c:v>0.88439610925053558</c:v>
                </c:pt>
                <c:pt idx="7">
                  <c:v>0.88446453852951101</c:v>
                </c:pt>
                <c:pt idx="8">
                  <c:v>0.88437028693785535</c:v>
                </c:pt>
                <c:pt idx="9">
                  <c:v>0.8841435977900528</c:v>
                </c:pt>
                <c:pt idx="10">
                  <c:v>0.88380806704731441</c:v>
                </c:pt>
                <c:pt idx="11">
                  <c:v>0.88338232451635224</c:v>
                </c:pt>
                <c:pt idx="12">
                  <c:v>0.88288123909556315</c:v>
                </c:pt>
                <c:pt idx="13">
                  <c:v>0.8823167959644016</c:v>
                </c:pt>
                <c:pt idx="14">
                  <c:v>0.88169874389719227</c:v>
                </c:pt>
                <c:pt idx="15">
                  <c:v>0.88103507904552281</c:v>
                </c:pt>
                <c:pt idx="16">
                  <c:v>0.88033241075650959</c:v>
                </c:pt>
                <c:pt idx="17">
                  <c:v>0.879596241197661</c:v>
                </c:pt>
                <c:pt idx="18">
                  <c:v>0.87883118124950488</c:v>
                </c:pt>
                <c:pt idx="19">
                  <c:v>0.87804111875126922</c:v>
                </c:pt>
                <c:pt idx="20">
                  <c:v>0.8772293507576</c:v>
                </c:pt>
                <c:pt idx="21">
                  <c:v>0.87639868835031098</c:v>
                </c:pt>
                <c:pt idx="22">
                  <c:v>0.87555154033253368</c:v>
                </c:pt>
                <c:pt idx="23">
                  <c:v>0.87468998053697755</c:v>
                </c:pt>
                <c:pt idx="24">
                  <c:v>0.87381580231927802</c:v>
                </c:pt>
                <c:pt idx="25">
                  <c:v>0.87293056295465454</c:v>
                </c:pt>
                <c:pt idx="26">
                  <c:v>0.87203562002381318</c:v>
                </c:pt>
                <c:pt idx="27">
                  <c:v>0.87113216140106597</c:v>
                </c:pt>
                <c:pt idx="28">
                  <c:v>0.87022123010094177</c:v>
                </c:pt>
                <c:pt idx="29">
                  <c:v>0.86930374496844875</c:v>
                </c:pt>
                <c:pt idx="30">
                  <c:v>0.86838051799053639</c:v>
                </c:pt>
                <c:pt idx="31">
                  <c:v>0.86745226884623483</c:v>
                </c:pt>
                <c:pt idx="32">
                  <c:v>0.8665196371886843</c:v>
                </c:pt>
                <c:pt idx="33">
                  <c:v>0.86558319305520404</c:v>
                </c:pt>
                <c:pt idx="34">
                  <c:v>0.86464344572527096</c:v>
                </c:pt>
                <c:pt idx="35">
                  <c:v>0.86370085128599083</c:v>
                </c:pt>
                <c:pt idx="36">
                  <c:v>0.86275581911672983</c:v>
                </c:pt>
                <c:pt idx="37">
                  <c:v>0.86180871746630339</c:v>
                </c:pt>
                <c:pt idx="38">
                  <c:v>0.86085987826538835</c:v>
                </c:pt>
                <c:pt idx="39">
                  <c:v>0.85990960129203453</c:v>
                </c:pt>
                <c:pt idx="40">
                  <c:v>0.85895815778806561</c:v>
                </c:pt>
                <c:pt idx="41">
                  <c:v>0.85800579360780582</c:v>
                </c:pt>
                <c:pt idx="42">
                  <c:v>0.85705273196720488</c:v>
                </c:pt>
                <c:pt idx="43">
                  <c:v>0.85609917585046191</c:v>
                </c:pt>
                <c:pt idx="44">
                  <c:v>0.85514531012221795</c:v>
                </c:pt>
                <c:pt idx="45">
                  <c:v>0.85419130338590621</c:v>
                </c:pt>
                <c:pt idx="46">
                  <c:v>0.8532373096226521</c:v>
                </c:pt>
                <c:pt idx="47">
                  <c:v>0.85228346963994517</c:v>
                </c:pt>
                <c:pt idx="48">
                  <c:v>0.85132991235499578</c:v>
                </c:pt>
                <c:pt idx="49">
                  <c:v>0.85037675593405992</c:v>
                </c:pt>
                <c:pt idx="50">
                  <c:v>0.84942410880598496</c:v>
                </c:pt>
              </c:numCache>
            </c:numRef>
          </c:yVal>
          <c:smooth val="1"/>
        </c:ser>
        <c:dLbls>
          <c:showLegendKey val="0"/>
          <c:showVal val="0"/>
          <c:showCatName val="0"/>
          <c:showSerName val="0"/>
          <c:showPercent val="0"/>
          <c:showBubbleSize val="0"/>
        </c:dLbls>
        <c:axId val="210576128"/>
        <c:axId val="210577664"/>
      </c:scatterChart>
      <c:valAx>
        <c:axId val="210576128"/>
        <c:scaling>
          <c:orientation val="minMax"/>
        </c:scaling>
        <c:delete val="0"/>
        <c:axPos val="b"/>
        <c:numFmt formatCode="General" sourceLinked="1"/>
        <c:majorTickMark val="out"/>
        <c:minorTickMark val="none"/>
        <c:tickLblPos val="nextTo"/>
        <c:crossAx val="210577664"/>
        <c:crosses val="autoZero"/>
        <c:crossBetween val="midCat"/>
      </c:valAx>
      <c:valAx>
        <c:axId val="210577664"/>
        <c:scaling>
          <c:orientation val="minMax"/>
        </c:scaling>
        <c:delete val="0"/>
        <c:axPos val="l"/>
        <c:majorGridlines/>
        <c:numFmt formatCode="General" sourceLinked="1"/>
        <c:majorTickMark val="out"/>
        <c:minorTickMark val="none"/>
        <c:tickLblPos val="nextTo"/>
        <c:crossAx val="21057612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23.930308373506936</c:v>
                </c:pt>
                <c:pt idx="1">
                  <c:v>23.930299228513043</c:v>
                </c:pt>
                <c:pt idx="2">
                  <c:v>23.930283986899425</c:v>
                </c:pt>
                <c:pt idx="3">
                  <c:v>23.930262648730178</c:v>
                </c:pt>
                <c:pt idx="4">
                  <c:v>23.930235214095163</c:v>
                </c:pt>
                <c:pt idx="5">
                  <c:v>23.930201683109903</c:v>
                </c:pt>
                <c:pt idx="6">
                  <c:v>23.930162055915602</c:v>
                </c:pt>
                <c:pt idx="7">
                  <c:v>23.930116332679212</c:v>
                </c:pt>
                <c:pt idx="8">
                  <c:v>23.930064513593166</c:v>
                </c:pt>
                <c:pt idx="9">
                  <c:v>23.930006598875664</c:v>
                </c:pt>
                <c:pt idx="10">
                  <c:v>23.92909225831534</c:v>
                </c:pt>
                <c:pt idx="11">
                  <c:v>23.927568785002357</c:v>
                </c:pt>
                <c:pt idx="12">
                  <c:v>23.925436819738515</c:v>
                </c:pt>
                <c:pt idx="13">
                  <c:v>23.922697258388599</c:v>
                </c:pt>
                <c:pt idx="14">
                  <c:v>23.919351250627535</c:v>
                </c:pt>
                <c:pt idx="15">
                  <c:v>23.915400198335682</c:v>
                </c:pt>
                <c:pt idx="16">
                  <c:v>23.910845753646676</c:v>
                </c:pt>
                <c:pt idx="17">
                  <c:v>23.905689816654771</c:v>
                </c:pt>
                <c:pt idx="18">
                  <c:v>23.899934532786496</c:v>
                </c:pt>
                <c:pt idx="19">
                  <c:v>23.810058184559928</c:v>
                </c:pt>
                <c:pt idx="20">
                  <c:v>23.664277671207131</c:v>
                </c:pt>
                <c:pt idx="21">
                  <c:v>23.468071432163541</c:v>
                </c:pt>
                <c:pt idx="22">
                  <c:v>23.228168734092677</c:v>
                </c:pt>
                <c:pt idx="23">
                  <c:v>22.951882148718585</c:v>
                </c:pt>
                <c:pt idx="24">
                  <c:v>22.646520700216012</c:v>
                </c:pt>
                <c:pt idx="25">
                  <c:v>22.318950195132562</c:v>
                </c:pt>
                <c:pt idx="26">
                  <c:v>21.975317025569172</c:v>
                </c:pt>
                <c:pt idx="27">
                  <c:v>21.620916461873676</c:v>
                </c:pt>
                <c:pt idx="28">
                  <c:v>18.123483637158508</c:v>
                </c:pt>
                <c:pt idx="29">
                  <c:v>15.286133957313696</c:v>
                </c:pt>
                <c:pt idx="30">
                  <c:v>13.054452345201062</c:v>
                </c:pt>
                <c:pt idx="31">
                  <c:v>11.245162825903181</c:v>
                </c:pt>
                <c:pt idx="32">
                  <c:v>9.7326742667160637</c:v>
                </c:pt>
                <c:pt idx="33">
                  <c:v>8.4366689066154255</c:v>
                </c:pt>
                <c:pt idx="34">
                  <c:v>7.304395330579049</c:v>
                </c:pt>
                <c:pt idx="35">
                  <c:v>6.299831783205474</c:v>
                </c:pt>
                <c:pt idx="36">
                  <c:v>5.3974598483697296</c:v>
                </c:pt>
                <c:pt idx="37">
                  <c:v>-0.59446855944691335</c:v>
                </c:pt>
                <c:pt idx="38">
                  <c:v>-4.122565462189776</c:v>
                </c:pt>
                <c:pt idx="39">
                  <c:v>-6.6281041694656251</c:v>
                </c:pt>
                <c:pt idx="40">
                  <c:v>-8.5706254763700578</c:v>
                </c:pt>
                <c:pt idx="41">
                  <c:v>-10.15644230974736</c:v>
                </c:pt>
                <c:pt idx="42">
                  <c:v>-11.49600080213898</c:v>
                </c:pt>
                <c:pt idx="43">
                  <c:v>-12.655306303520724</c:v>
                </c:pt>
                <c:pt idx="44">
                  <c:v>-13.676937115767059</c:v>
                </c:pt>
                <c:pt idx="45">
                  <c:v>-14.58995444461776</c:v>
                </c:pt>
                <c:pt idx="46">
                  <c:v>-20.563489875418792</c:v>
                </c:pt>
                <c:pt idx="47">
                  <c:v>-24.002503691254539</c:v>
                </c:pt>
                <c:pt idx="48">
                  <c:v>-26.38717398069538</c:v>
                </c:pt>
                <c:pt idx="49">
                  <c:v>-28.182735295386401</c:v>
                </c:pt>
                <c:pt idx="50">
                  <c:v>-29.598079464262966</c:v>
                </c:pt>
                <c:pt idx="51">
                  <c:v>-30.74616217062669</c:v>
                </c:pt>
                <c:pt idx="52">
                  <c:v>-31.695711249548687</c:v>
                </c:pt>
                <c:pt idx="53">
                  <c:v>-32.492119497399941</c:v>
                </c:pt>
                <c:pt idx="54">
                  <c:v>-33.167212210440304</c:v>
                </c:pt>
                <c:pt idx="55">
                  <c:v>-36.518181638812457</c:v>
                </c:pt>
              </c:numCache>
            </c:numRef>
          </c:yVal>
          <c:smooth val="1"/>
        </c:ser>
        <c:dLbls>
          <c:showLegendKey val="0"/>
          <c:showVal val="0"/>
          <c:showCatName val="0"/>
          <c:showSerName val="0"/>
          <c:showPercent val="0"/>
          <c:showBubbleSize val="0"/>
        </c:dLbls>
        <c:axId val="211063552"/>
        <c:axId val="211065472"/>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-5.2029556636206724E-2</c:v>
                </c:pt>
                <c:pt idx="1">
                  <c:v>-0.10405904587947586</c:v>
                </c:pt>
                <c:pt idx="2">
                  <c:v>-0.15608840033743632</c:v>
                </c:pt>
                <c:pt idx="3">
                  <c:v>-0.20811755261885395</c:v>
                </c:pt>
                <c:pt idx="4">
                  <c:v>-0.26014643533419529</c:v>
                </c:pt>
                <c:pt idx="5">
                  <c:v>-0.31217498109619862</c:v>
                </c:pt>
                <c:pt idx="6">
                  <c:v>-0.36420312252043774</c:v>
                </c:pt>
                <c:pt idx="7">
                  <c:v>-0.41623079222589227</c:v>
                </c:pt>
                <c:pt idx="8">
                  <c:v>-0.46825792283551421</c:v>
                </c:pt>
                <c:pt idx="9">
                  <c:v>-0.5202844469767961</c:v>
                </c:pt>
                <c:pt idx="10">
                  <c:v>-1.0405015150593779</c:v>
                </c:pt>
                <c:pt idx="11">
                  <c:v>-1.5605838820675557</c:v>
                </c:pt>
                <c:pt idx="12">
                  <c:v>-2.0804643391299078</c:v>
                </c:pt>
                <c:pt idx="13">
                  <c:v>-2.6000758470403609</c:v>
                </c:pt>
                <c:pt idx="14">
                  <c:v>-3.1193515922586879</c:v>
                </c:pt>
                <c:pt idx="15">
                  <c:v>-3.638225042438477</c:v>
                </c:pt>
                <c:pt idx="16">
                  <c:v>-4.1566300013678639</c:v>
                </c:pt>
                <c:pt idx="17">
                  <c:v>-4.6745006632106234</c:v>
                </c:pt>
                <c:pt idx="18">
                  <c:v>-5.1917716659379405</c:v>
                </c:pt>
                <c:pt idx="19">
                  <c:v>-10.317539867726573</c:v>
                </c:pt>
                <c:pt idx="20">
                  <c:v>-15.31659982320968</c:v>
                </c:pt>
                <c:pt idx="21">
                  <c:v>-20.137823607275116</c:v>
                </c:pt>
                <c:pt idx="22">
                  <c:v>-24.742245643655831</c:v>
                </c:pt>
                <c:pt idx="23">
                  <c:v>-29.103800185818585</c:v>
                </c:pt>
                <c:pt idx="24">
                  <c:v>-33.208508389290387</c:v>
                </c:pt>
                <c:pt idx="25">
                  <c:v>-37.052655663650064</c:v>
                </c:pt>
                <c:pt idx="26">
                  <c:v>-40.64052181312087</c:v>
                </c:pt>
                <c:pt idx="27">
                  <c:v>-43.982105165904713</c:v>
                </c:pt>
                <c:pt idx="28">
                  <c:v>-67.213254774508613</c:v>
                </c:pt>
                <c:pt idx="29">
                  <c:v>-80.342111436925478</c:v>
                </c:pt>
                <c:pt idx="30">
                  <c:v>-89.389047874787593</c:v>
                </c:pt>
                <c:pt idx="31">
                  <c:v>-96.50458405333346</c:v>
                </c:pt>
                <c:pt idx="32">
                  <c:v>-102.55858657313131</c:v>
                </c:pt>
                <c:pt idx="33">
                  <c:v>-107.95575605945149</c:v>
                </c:pt>
                <c:pt idx="34">
                  <c:v>-112.90576042557737</c:v>
                </c:pt>
                <c:pt idx="35">
                  <c:v>-117.52634596594106</c:v>
                </c:pt>
                <c:pt idx="36">
                  <c:v>-121.88787302189913</c:v>
                </c:pt>
                <c:pt idx="37">
                  <c:v>-156.56129518792804</c:v>
                </c:pt>
                <c:pt idx="38">
                  <c:v>179.80859881301316</c:v>
                </c:pt>
                <c:pt idx="39">
                  <c:v>163.51035648726398</c:v>
                </c:pt>
                <c:pt idx="40">
                  <c:v>152.00735568819823</c:v>
                </c:pt>
                <c:pt idx="41">
                  <c:v>143.64073808622038</c:v>
                </c:pt>
                <c:pt idx="42">
                  <c:v>137.37562695506026</c:v>
                </c:pt>
                <c:pt idx="43">
                  <c:v>132.56350283315308</c:v>
                </c:pt>
                <c:pt idx="44">
                  <c:v>128.78780233025921</c:v>
                </c:pt>
                <c:pt idx="45">
                  <c:v>125.77274011516519</c:v>
                </c:pt>
                <c:pt idx="46">
                  <c:v>113.5542649846184</c:v>
                </c:pt>
                <c:pt idx="47">
                  <c:v>111.64159852514587</c:v>
                </c:pt>
                <c:pt idx="48">
                  <c:v>112.34326139577951</c:v>
                </c:pt>
                <c:pt idx="49">
                  <c:v>114.03279678678618</c:v>
                </c:pt>
                <c:pt idx="50">
                  <c:v>116.15123820763608</c:v>
                </c:pt>
                <c:pt idx="51">
                  <c:v>118.45210211073773</c:v>
                </c:pt>
                <c:pt idx="52">
                  <c:v>120.80933900062557</c:v>
                </c:pt>
                <c:pt idx="53">
                  <c:v>123.15254050011886</c:v>
                </c:pt>
                <c:pt idx="54">
                  <c:v>125.44057189574923</c:v>
                </c:pt>
                <c:pt idx="55">
                  <c:v>143.13776583813683</c:v>
                </c:pt>
              </c:numCache>
            </c:numRef>
          </c:yVal>
          <c:smooth val="1"/>
        </c:ser>
        <c:dLbls>
          <c:showLegendKey val="0"/>
          <c:showVal val="0"/>
          <c:showCatName val="0"/>
          <c:showSerName val="0"/>
          <c:showPercent val="0"/>
          <c:showBubbleSize val="0"/>
        </c:dLbls>
        <c:axId val="211072896"/>
        <c:axId val="211071360"/>
      </c:scatterChart>
      <c:valAx>
        <c:axId val="211063552"/>
        <c:scaling>
          <c:logBase val="10"/>
          <c:orientation val="minMax"/>
        </c:scaling>
        <c:delete val="0"/>
        <c:axPos val="b"/>
        <c:majorGridlines/>
        <c:title>
          <c:overlay val="0"/>
        </c:title>
        <c:numFmt formatCode="General" sourceLinked="0"/>
        <c:majorTickMark val="out"/>
        <c:minorTickMark val="none"/>
        <c:tickLblPos val="low"/>
        <c:crossAx val="211065472"/>
        <c:crosses val="autoZero"/>
        <c:crossBetween val="midCat"/>
      </c:valAx>
      <c:valAx>
        <c:axId val="211065472"/>
        <c:scaling>
          <c:orientation val="minMax"/>
        </c:scaling>
        <c:delete val="0"/>
        <c:axPos val="l"/>
        <c:majorGridlines/>
        <c:numFmt formatCode="General" sourceLinked="0"/>
        <c:majorTickMark val="out"/>
        <c:minorTickMark val="none"/>
        <c:tickLblPos val="nextTo"/>
        <c:crossAx val="211063552"/>
        <c:crosses val="autoZero"/>
        <c:crossBetween val="midCat"/>
        <c:majorUnit val="20"/>
      </c:valAx>
      <c:valAx>
        <c:axId val="211071360"/>
        <c:scaling>
          <c:orientation val="minMax"/>
          <c:max val="180"/>
          <c:min val="-180"/>
        </c:scaling>
        <c:delete val="0"/>
        <c:axPos val="r"/>
        <c:numFmt formatCode="General" sourceLinked="1"/>
        <c:majorTickMark val="out"/>
        <c:minorTickMark val="none"/>
        <c:tickLblPos val="nextTo"/>
        <c:crossAx val="211072896"/>
        <c:crosses val="max"/>
        <c:crossBetween val="midCat"/>
      </c:valAx>
      <c:valAx>
        <c:axId val="211072896"/>
        <c:scaling>
          <c:logBase val="10"/>
          <c:orientation val="minMax"/>
        </c:scaling>
        <c:delete val="1"/>
        <c:axPos val="b"/>
        <c:majorGridlines/>
        <c:minorGridlines/>
        <c:numFmt formatCode="##0.000E+0" sourceLinked="1"/>
        <c:majorTickMark val="out"/>
        <c:minorTickMark val="none"/>
        <c:tickLblPos val="nextTo"/>
        <c:crossAx val="2110713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VIN_NOM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Flyback_CCM_Calc!$DE$4:$DE$59</c:f>
              <c:numCache>
                <c:formatCode>##0.000E+0</c:formatCode>
                <c:ptCount val="56"/>
                <c:pt idx="0">
                  <c:v>25.513824043958977</c:v>
                </c:pt>
                <c:pt idx="1">
                  <c:v>25.513814894209617</c:v>
                </c:pt>
                <c:pt idx="2">
                  <c:v>25.513799644670119</c:v>
                </c:pt>
                <c:pt idx="3">
                  <c:v>25.513778295404656</c:v>
                </c:pt>
                <c:pt idx="4">
                  <c:v>25.513750846503175</c:v>
                </c:pt>
                <c:pt idx="5">
                  <c:v>25.513717298081122</c:v>
                </c:pt>
                <c:pt idx="6">
                  <c:v>25.513677650279789</c:v>
                </c:pt>
                <c:pt idx="7">
                  <c:v>25.513631903265924</c:v>
                </c:pt>
                <c:pt idx="8">
                  <c:v>25.513580057232083</c:v>
                </c:pt>
                <c:pt idx="9">
                  <c:v>25.513522112396455</c:v>
                </c:pt>
                <c:pt idx="10">
                  <c:v>25.512607296287271</c:v>
                </c:pt>
                <c:pt idx="11">
                  <c:v>25.511083030393298</c:v>
                </c:pt>
                <c:pt idx="12">
                  <c:v>25.50894995551689</c:v>
                </c:pt>
                <c:pt idx="13">
                  <c:v>25.506208967523921</c:v>
                </c:pt>
                <c:pt idx="14">
                  <c:v>25.502861216090537</c:v>
                </c:pt>
                <c:pt idx="15">
                  <c:v>25.498908103098373</c:v>
                </c:pt>
                <c:pt idx="16">
                  <c:v>25.494351280682888</c:v>
                </c:pt>
                <c:pt idx="17">
                  <c:v>25.489192648940303</c:v>
                </c:pt>
                <c:pt idx="18">
                  <c:v>25.483434353299511</c:v>
                </c:pt>
                <c:pt idx="19">
                  <c:v>25.393510451826643</c:v>
                </c:pt>
                <c:pt idx="20">
                  <c:v>25.247650687484825</c:v>
                </c:pt>
                <c:pt idx="21">
                  <c:v>25.051333506340171</c:v>
                </c:pt>
                <c:pt idx="22">
                  <c:v>24.811288184337748</c:v>
                </c:pt>
                <c:pt idx="23">
                  <c:v>24.534827305131586</c:v>
                </c:pt>
                <c:pt idx="24">
                  <c:v>24.229259907472315</c:v>
                </c:pt>
                <c:pt idx="25">
                  <c:v>23.901451815126826</c:v>
                </c:pt>
                <c:pt idx="26">
                  <c:v>23.557549440054252</c:v>
                </c:pt>
                <c:pt idx="27">
                  <c:v>23.202848075096782</c:v>
                </c:pt>
                <c:pt idx="28">
                  <c:v>19.700676293420859</c:v>
                </c:pt>
                <c:pt idx="29">
                  <c:v>16.855472145004914</c:v>
                </c:pt>
                <c:pt idx="30">
                  <c:v>14.612885300564853</c:v>
                </c:pt>
                <c:pt idx="31">
                  <c:v>12.789728584213663</c:v>
                </c:pt>
                <c:pt idx="32">
                  <c:v>11.260521946228561</c:v>
                </c:pt>
                <c:pt idx="33">
                  <c:v>9.9450788309226574</c:v>
                </c:pt>
                <c:pt idx="34">
                  <c:v>8.7907966698470137</c:v>
                </c:pt>
                <c:pt idx="35">
                  <c:v>7.7618174778728832</c:v>
                </c:pt>
                <c:pt idx="36">
                  <c:v>6.8327986660958997</c:v>
                </c:pt>
                <c:pt idx="37">
                  <c:v>0.49341080458826436</c:v>
                </c:pt>
                <c:pt idx="38">
                  <c:v>-3.4152154547978024</c:v>
                </c:pt>
                <c:pt idx="39">
                  <c:v>-6.2431224027701475</c:v>
                </c:pt>
                <c:pt idx="40">
                  <c:v>-8.4320911671735121</c:v>
                </c:pt>
                <c:pt idx="41">
                  <c:v>-10.199929997821947</c:v>
                </c:pt>
                <c:pt idx="42">
                  <c:v>-11.673434937864304</c:v>
                </c:pt>
                <c:pt idx="43">
                  <c:v>-12.932273492050202</c:v>
                </c:pt>
                <c:pt idx="44">
                  <c:v>-14.028984914371854</c:v>
                </c:pt>
                <c:pt idx="45">
                  <c:v>-14.999582530142108</c:v>
                </c:pt>
                <c:pt idx="46">
                  <c:v>-21.183025444320126</c:v>
                </c:pt>
                <c:pt idx="47">
                  <c:v>-24.665941721435381</c:v>
                </c:pt>
                <c:pt idx="48">
                  <c:v>-27.066401307351878</c:v>
                </c:pt>
                <c:pt idx="49">
                  <c:v>-28.869347487688213</c:v>
                </c:pt>
                <c:pt idx="50">
                  <c:v>-30.288723781611662</c:v>
                </c:pt>
                <c:pt idx="51">
                  <c:v>-31.439244782918969</c:v>
                </c:pt>
                <c:pt idx="52">
                  <c:v>-32.390379258085758</c:v>
                </c:pt>
                <c:pt idx="53">
                  <c:v>-33.187875747274489</c:v>
                </c:pt>
                <c:pt idx="54">
                  <c:v>-33.863747522165305</c:v>
                </c:pt>
                <c:pt idx="55">
                  <c:v>-37.217211538883355</c:v>
                </c:pt>
              </c:numCache>
            </c:numRef>
          </c:yVal>
          <c:smooth val="1"/>
        </c:ser>
        <c:dLbls>
          <c:showLegendKey val="0"/>
          <c:showVal val="0"/>
          <c:showCatName val="0"/>
          <c:showSerName val="0"/>
          <c:showPercent val="0"/>
          <c:showBubbleSize val="0"/>
        </c:dLbls>
        <c:axId val="211680640"/>
        <c:axId val="211228160"/>
      </c:scatterChart>
      <c:scatterChart>
        <c:scatterStyle val="smoothMarker"/>
        <c:varyColors val="0"/>
        <c:ser>
          <c:idx val="1"/>
          <c:order val="1"/>
          <c:tx>
            <c:v>VIN_NOM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Flyback_CCM_Calc!$DF$4:$DF$59</c:f>
              <c:numCache>
                <c:formatCode>General</c:formatCode>
                <c:ptCount val="56"/>
                <c:pt idx="0">
                  <c:v>-5.1035380863904724E-2</c:v>
                </c:pt>
                <c:pt idx="1">
                  <c:v>-0.1020706943404479</c:v>
                </c:pt>
                <c:pt idx="2">
                  <c:v>-0.15310587304283516</c:v>
                </c:pt>
                <c:pt idx="3">
                  <c:v>-0.20414084958540735</c:v>
                </c:pt>
                <c:pt idx="4">
                  <c:v>-0.25517555658420804</c:v>
                </c:pt>
                <c:pt idx="5">
                  <c:v>-0.30620992665755142</c:v>
                </c:pt>
                <c:pt idx="6">
                  <c:v>-0.35724389242658661</c:v>
                </c:pt>
                <c:pt idx="7">
                  <c:v>-0.40827738651587092</c:v>
                </c:pt>
                <c:pt idx="8">
                  <c:v>-0.4593103415539308</c:v>
                </c:pt>
                <c:pt idx="9">
                  <c:v>-0.51034269017383549</c:v>
                </c:pt>
                <c:pt idx="10">
                  <c:v>-1.0206180070295692</c:v>
                </c:pt>
                <c:pt idx="11">
                  <c:v>-1.5307586339631225</c:v>
                </c:pt>
                <c:pt idx="12">
                  <c:v>-2.0406973676791482</c:v>
                </c:pt>
                <c:pt idx="13">
                  <c:v>-2.5503671745476146</c:v>
                </c:pt>
                <c:pt idx="14">
                  <c:v>-3.059701246604317</c:v>
                </c:pt>
                <c:pt idx="15">
                  <c:v>-3.5686330570787854</c:v>
                </c:pt>
                <c:pt idx="16">
                  <c:v>-4.0770964153350393</c:v>
                </c:pt>
                <c:pt idx="17">
                  <c:v>-4.585025521112664</c:v>
                </c:pt>
                <c:pt idx="18">
                  <c:v>-5.0923550179585515</c:v>
                </c:pt>
                <c:pt idx="19">
                  <c:v>-10.118712147611454</c:v>
                </c:pt>
                <c:pt idx="20">
                  <c:v>-15.018372181552561</c:v>
                </c:pt>
                <c:pt idx="21">
                  <c:v>-19.740212767232375</c:v>
                </c:pt>
                <c:pt idx="22">
                  <c:v>-24.245273897667339</c:v>
                </c:pt>
                <c:pt idx="23">
                  <c:v>-28.507495391237082</c:v>
                </c:pt>
                <c:pt idx="24">
                  <c:v>-32.512903962922003</c:v>
                </c:pt>
                <c:pt idx="25">
                  <c:v>-36.257790575208062</c:v>
                </c:pt>
                <c:pt idx="26">
                  <c:v>-39.746440577595507</c:v>
                </c:pt>
                <c:pt idx="27">
                  <c:v>-42.988857834851835</c:v>
                </c:pt>
                <c:pt idx="28">
                  <c:v>-65.232308997840576</c:v>
                </c:pt>
                <c:pt idx="29">
                  <c:v>-77.384457136682869</c:v>
                </c:pt>
                <c:pt idx="30">
                  <c:v>-85.470904852508696</c:v>
                </c:pt>
                <c:pt idx="31">
                  <c:v>-91.647096271387184</c:v>
                </c:pt>
                <c:pt idx="32">
                  <c:v>-96.787434196551615</c:v>
                </c:pt>
                <c:pt idx="33">
                  <c:v>-101.3007002984873</c:v>
                </c:pt>
                <c:pt idx="34">
                  <c:v>-105.40013794454318</c:v>
                </c:pt>
                <c:pt idx="35">
                  <c:v>-109.20653031921691</c:v>
                </c:pt>
                <c:pt idx="36">
                  <c:v>-112.79272029802873</c:v>
                </c:pt>
                <c:pt idx="37">
                  <c:v>-142.0349380667455</c:v>
                </c:pt>
                <c:pt idx="38">
                  <c:v>-163.81805610973237</c:v>
                </c:pt>
                <c:pt idx="39">
                  <c:v>179.74933264702221</c:v>
                </c:pt>
                <c:pt idx="40">
                  <c:v>167.30057172460141</c:v>
                </c:pt>
                <c:pt idx="41">
                  <c:v>157.75385303826903</c:v>
                </c:pt>
                <c:pt idx="42">
                  <c:v>150.31567380333587</c:v>
                </c:pt>
                <c:pt idx="43">
                  <c:v>144.42514490539764</c:v>
                </c:pt>
                <c:pt idx="44">
                  <c:v>139.6886359978418</c:v>
                </c:pt>
                <c:pt idx="45">
                  <c:v>135.82782147451638</c:v>
                </c:pt>
                <c:pt idx="46">
                  <c:v>119.01955899587807</c:v>
                </c:pt>
                <c:pt idx="47">
                  <c:v>115.34520843516495</c:v>
                </c:pt>
                <c:pt idx="48">
                  <c:v>115.13711635771949</c:v>
                </c:pt>
                <c:pt idx="49">
                  <c:v>116.27391431794568</c:v>
                </c:pt>
                <c:pt idx="50">
                  <c:v>118.02157954421045</c:v>
                </c:pt>
                <c:pt idx="51">
                  <c:v>120.05667326049047</c:v>
                </c:pt>
                <c:pt idx="52">
                  <c:v>122.21414726029452</c:v>
                </c:pt>
                <c:pt idx="53">
                  <c:v>124.40175218125493</c:v>
                </c:pt>
                <c:pt idx="54">
                  <c:v>126.5651801611704</c:v>
                </c:pt>
                <c:pt idx="55">
                  <c:v>143.70057860010172</c:v>
                </c:pt>
              </c:numCache>
            </c:numRef>
          </c:yVal>
          <c:smooth val="1"/>
        </c:ser>
        <c:dLbls>
          <c:showLegendKey val="0"/>
          <c:showVal val="0"/>
          <c:showCatName val="0"/>
          <c:showSerName val="0"/>
          <c:showPercent val="0"/>
          <c:showBubbleSize val="0"/>
        </c:dLbls>
        <c:axId val="211251968"/>
        <c:axId val="211229696"/>
      </c:scatterChart>
      <c:valAx>
        <c:axId val="211680640"/>
        <c:scaling>
          <c:logBase val="10"/>
          <c:orientation val="minMax"/>
        </c:scaling>
        <c:delete val="0"/>
        <c:axPos val="b"/>
        <c:majorGridlines/>
        <c:title>
          <c:overlay val="0"/>
        </c:title>
        <c:numFmt formatCode="General" sourceLinked="0"/>
        <c:majorTickMark val="out"/>
        <c:minorTickMark val="none"/>
        <c:tickLblPos val="low"/>
        <c:crossAx val="211228160"/>
        <c:crosses val="autoZero"/>
        <c:crossBetween val="midCat"/>
      </c:valAx>
      <c:valAx>
        <c:axId val="211228160"/>
        <c:scaling>
          <c:orientation val="minMax"/>
        </c:scaling>
        <c:delete val="0"/>
        <c:axPos val="l"/>
        <c:majorGridlines/>
        <c:numFmt formatCode="General" sourceLinked="0"/>
        <c:majorTickMark val="out"/>
        <c:minorTickMark val="none"/>
        <c:tickLblPos val="nextTo"/>
        <c:crossAx val="211680640"/>
        <c:crosses val="autoZero"/>
        <c:crossBetween val="midCat"/>
        <c:majorUnit val="20"/>
      </c:valAx>
      <c:valAx>
        <c:axId val="211229696"/>
        <c:scaling>
          <c:orientation val="minMax"/>
          <c:max val="180"/>
          <c:min val="-180"/>
        </c:scaling>
        <c:delete val="0"/>
        <c:axPos val="r"/>
        <c:numFmt formatCode="General" sourceLinked="1"/>
        <c:majorTickMark val="out"/>
        <c:minorTickMark val="none"/>
        <c:tickLblPos val="nextTo"/>
        <c:crossAx val="211251968"/>
        <c:crosses val="max"/>
        <c:crossBetween val="midCat"/>
      </c:valAx>
      <c:valAx>
        <c:axId val="211251968"/>
        <c:scaling>
          <c:logBase val="10"/>
          <c:orientation val="minMax"/>
        </c:scaling>
        <c:delete val="1"/>
        <c:axPos val="b"/>
        <c:majorGridlines/>
        <c:minorGridlines/>
        <c:numFmt formatCode="##0.000E+0" sourceLinked="1"/>
        <c:majorTickMark val="out"/>
        <c:minorTickMark val="none"/>
        <c:tickLblPos val="nextTo"/>
        <c:crossAx val="2112296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VIN_MAX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Flyback_CCM_Calc!$DG$4:$DG$59</c:f>
              <c:numCache>
                <c:formatCode>##0.000E+0</c:formatCode>
                <c:ptCount val="56"/>
                <c:pt idx="0">
                  <c:v>30.706031895150353</c:v>
                </c:pt>
                <c:pt idx="1">
                  <c:v>30.706016547436555</c:v>
                </c:pt>
                <c:pt idx="2">
                  <c:v>30.705990968034072</c:v>
                </c:pt>
                <c:pt idx="3">
                  <c:v>30.705955157123562</c:v>
                </c:pt>
                <c:pt idx="4">
                  <c:v>30.705909114958267</c:v>
                </c:pt>
                <c:pt idx="5">
                  <c:v>30.705852841863344</c:v>
                </c:pt>
                <c:pt idx="6">
                  <c:v>30.705786338236596</c:v>
                </c:pt>
                <c:pt idx="7">
                  <c:v>30.705709604547764</c:v>
                </c:pt>
                <c:pt idx="8">
                  <c:v>30.705622641339069</c:v>
                </c:pt>
                <c:pt idx="9">
                  <c:v>30.705525449224957</c:v>
                </c:pt>
                <c:pt idx="10">
                  <c:v>30.703991125080343</c:v>
                </c:pt>
                <c:pt idx="11">
                  <c:v>30.701435121926899</c:v>
                </c:pt>
                <c:pt idx="12">
                  <c:v>30.697859242422993</c:v>
                </c:pt>
                <c:pt idx="13">
                  <c:v>30.693266004359518</c:v>
                </c:pt>
                <c:pt idx="14">
                  <c:v>30.687658634764436</c:v>
                </c:pt>
                <c:pt idx="15">
                  <c:v>30.681041062372092</c:v>
                </c:pt>
                <c:pt idx="16">
                  <c:v>30.67341790849494</c:v>
                </c:pt>
                <c:pt idx="17">
                  <c:v>30.6647944763418</c:v>
                </c:pt>
                <c:pt idx="18">
                  <c:v>30.655176738833376</c:v>
                </c:pt>
                <c:pt idx="19">
                  <c:v>30.506074285293074</c:v>
                </c:pt>
                <c:pt idx="20">
                  <c:v>30.268408884647084</c:v>
                </c:pt>
                <c:pt idx="21">
                  <c:v>29.956115906167405</c:v>
                </c:pt>
                <c:pt idx="22">
                  <c:v>29.585003714465763</c:v>
                </c:pt>
                <c:pt idx="23">
                  <c:v>29.170661397136328</c:v>
                </c:pt>
                <c:pt idx="24">
                  <c:v>28.727053381766584</c:v>
                </c:pt>
                <c:pt idx="25">
                  <c:v>28.265838077332276</c:v>
                </c:pt>
                <c:pt idx="26">
                  <c:v>27.796238347238216</c:v>
                </c:pt>
                <c:pt idx="27">
                  <c:v>27.325241530607979</c:v>
                </c:pt>
                <c:pt idx="28">
                  <c:v>23.136687445327819</c:v>
                </c:pt>
                <c:pt idx="29">
                  <c:v>20.056984637863962</c:v>
                </c:pt>
                <c:pt idx="30">
                  <c:v>17.721949932991741</c:v>
                </c:pt>
                <c:pt idx="31">
                  <c:v>15.859127323970677</c:v>
                </c:pt>
                <c:pt idx="32">
                  <c:v>14.31427214378926</c:v>
                </c:pt>
                <c:pt idx="33">
                  <c:v>12.996023794653816</c:v>
                </c:pt>
                <c:pt idx="34">
                  <c:v>11.846713935001244</c:v>
                </c:pt>
                <c:pt idx="35">
                  <c:v>10.827876334328611</c:v>
                </c:pt>
                <c:pt idx="36">
                  <c:v>9.9126685900416316</c:v>
                </c:pt>
                <c:pt idx="37">
                  <c:v>3.7862734010779464</c:v>
                </c:pt>
                <c:pt idx="38">
                  <c:v>5.8713100609544697E-2</c:v>
                </c:pt>
                <c:pt idx="39">
                  <c:v>-2.7122144851396204</c:v>
                </c:pt>
                <c:pt idx="40">
                  <c:v>-4.9704037563772534</c:v>
                </c:pt>
                <c:pt idx="41">
                  <c:v>-6.9054979244202546</c:v>
                </c:pt>
                <c:pt idx="42">
                  <c:v>-8.6133089788656942</c:v>
                </c:pt>
                <c:pt idx="43">
                  <c:v>-10.148031817604954</c:v>
                </c:pt>
                <c:pt idx="44">
                  <c:v>-11.543258752194571</c:v>
                </c:pt>
                <c:pt idx="45">
                  <c:v>-12.821558066516314</c:v>
                </c:pt>
                <c:pt idx="46">
                  <c:v>-21.5522533353151</c:v>
                </c:pt>
                <c:pt idx="47">
                  <c:v>-26.385251096105264</c:v>
                </c:pt>
                <c:pt idx="48">
                  <c:v>-29.485598108059499</c:v>
                </c:pt>
                <c:pt idx="49">
                  <c:v>-31.679407312624853</c:v>
                </c:pt>
                <c:pt idx="50">
                  <c:v>-33.334124149614247</c:v>
                </c:pt>
                <c:pt idx="51">
                  <c:v>-34.635625610855037</c:v>
                </c:pt>
                <c:pt idx="52">
                  <c:v>-35.688755984749292</c:v>
                </c:pt>
                <c:pt idx="53">
                  <c:v>-36.558114509733471</c:v>
                </c:pt>
                <c:pt idx="54">
                  <c:v>-37.286394969975944</c:v>
                </c:pt>
                <c:pt idx="55">
                  <c:v>-40.813374210291329</c:v>
                </c:pt>
              </c:numCache>
            </c:numRef>
          </c:yVal>
          <c:smooth val="1"/>
        </c:ser>
        <c:dLbls>
          <c:showLegendKey val="0"/>
          <c:showVal val="0"/>
          <c:showCatName val="0"/>
          <c:showSerName val="0"/>
          <c:showPercent val="0"/>
          <c:showBubbleSize val="0"/>
        </c:dLbls>
        <c:axId val="211663488"/>
        <c:axId val="211665664"/>
      </c:scatterChart>
      <c:scatterChart>
        <c:scatterStyle val="smoothMarker"/>
        <c:varyColors val="0"/>
        <c:ser>
          <c:idx val="1"/>
          <c:order val="1"/>
          <c:tx>
            <c:v>VIN_MAX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Flyback_CCM_Calc!$DH$4:$DH$59</c:f>
              <c:numCache>
                <c:formatCode>General</c:formatCode>
                <c:ptCount val="56"/>
                <c:pt idx="0">
                  <c:v>-6.3004348480685701E-2</c:v>
                </c:pt>
                <c:pt idx="1">
                  <c:v>-0.12600855047333798</c:v>
                </c:pt>
                <c:pt idx="2">
                  <c:v>-0.18901245949199519</c:v>
                </c:pt>
                <c:pt idx="3">
                  <c:v>-0.25201592905483633</c:v>
                </c:pt>
                <c:pt idx="4">
                  <c:v>-0.31501881268624932</c:v>
                </c:pt>
                <c:pt idx="5">
                  <c:v>-0.37802096391890777</c:v>
                </c:pt>
                <c:pt idx="6">
                  <c:v>-0.44102223629583326</c:v>
                </c:pt>
                <c:pt idx="7">
                  <c:v>-0.50402248337246713</c:v>
                </c:pt>
                <c:pt idx="8">
                  <c:v>-0.56702155871874449</c:v>
                </c:pt>
                <c:pt idx="9">
                  <c:v>-0.63001931592115623</c:v>
                </c:pt>
                <c:pt idx="10">
                  <c:v>-1.259892195037124</c:v>
                </c:pt>
                <c:pt idx="11">
                  <c:v>-1.8894724073536537</c:v>
                </c:pt>
                <c:pt idx="12">
                  <c:v>-2.5186141357687029</c:v>
                </c:pt>
                <c:pt idx="13">
                  <c:v>-3.1471721806991879</c:v>
                </c:pt>
                <c:pt idx="14">
                  <c:v>-3.7750021625380525</c:v>
                </c:pt>
                <c:pt idx="15">
                  <c:v>-4.4019607212402603</c:v>
                </c:pt>
                <c:pt idx="16">
                  <c:v>-5.0279057123556878</c:v>
                </c:pt>
                <c:pt idx="17">
                  <c:v>-5.6526963988492174</c:v>
                </c:pt>
                <c:pt idx="18">
                  <c:v>-6.2761936380758883</c:v>
                </c:pt>
                <c:pt idx="19">
                  <c:v>-12.4108987067518</c:v>
                </c:pt>
                <c:pt idx="20">
                  <c:v>-18.28110801484172</c:v>
                </c:pt>
                <c:pt idx="21">
                  <c:v>-23.795129085044891</c:v>
                </c:pt>
                <c:pt idx="22">
                  <c:v>-28.897092863409924</c:v>
                </c:pt>
                <c:pt idx="23">
                  <c:v>-33.564112527516095</c:v>
                </c:pt>
                <c:pt idx="24">
                  <c:v>-37.799161100021941</c:v>
                </c:pt>
                <c:pt idx="25">
                  <c:v>-41.622799925879669</c:v>
                </c:pt>
                <c:pt idx="26">
                  <c:v>-45.065813028561713</c:v>
                </c:pt>
                <c:pt idx="27">
                  <c:v>-48.163606495284093</c:v>
                </c:pt>
                <c:pt idx="28">
                  <c:v>-66.906596841629366</c:v>
                </c:pt>
                <c:pt idx="29">
                  <c:v>-75.389373445826195</c:v>
                </c:pt>
                <c:pt idx="30">
                  <c:v>-80.31126278580615</c:v>
                </c:pt>
                <c:pt idx="31">
                  <c:v>-83.661332648272378</c:v>
                </c:pt>
                <c:pt idx="32">
                  <c:v>-86.190923984525483</c:v>
                </c:pt>
                <c:pt idx="33">
                  <c:v>-88.240616676797075</c:v>
                </c:pt>
                <c:pt idx="34">
                  <c:v>-89.985890587813884</c:v>
                </c:pt>
                <c:pt idx="35">
                  <c:v>-91.525979940087637</c:v>
                </c:pt>
                <c:pt idx="36">
                  <c:v>-92.92108617803936</c:v>
                </c:pt>
                <c:pt idx="37">
                  <c:v>-103.57790513913524</c:v>
                </c:pt>
                <c:pt idx="38">
                  <c:v>-112.19619476489117</c:v>
                </c:pt>
                <c:pt idx="39">
                  <c:v>-119.98380596141325</c:v>
                </c:pt>
                <c:pt idx="40">
                  <c:v>-127.14120229840366</c:v>
                </c:pt>
                <c:pt idx="41">
                  <c:v>-133.72874410018053</c:v>
                </c:pt>
                <c:pt idx="42">
                  <c:v>-139.78402136252163</c:v>
                </c:pt>
                <c:pt idx="43">
                  <c:v>-145.34431674223885</c:v>
                </c:pt>
                <c:pt idx="44">
                  <c:v>-150.4492934000136</c:v>
                </c:pt>
                <c:pt idx="45">
                  <c:v>-155.13937084358821</c:v>
                </c:pt>
                <c:pt idx="46">
                  <c:v>173.64015815101749</c:v>
                </c:pt>
                <c:pt idx="47">
                  <c:v>157.96587358696951</c:v>
                </c:pt>
                <c:pt idx="48">
                  <c:v>149.46876757188701</c:v>
                </c:pt>
                <c:pt idx="49">
                  <c:v>144.79247103622154</c:v>
                </c:pt>
                <c:pt idx="50">
                  <c:v>142.31519932383918</c:v>
                </c:pt>
                <c:pt idx="51">
                  <c:v>141.1702352955505</c:v>
                </c:pt>
                <c:pt idx="52">
                  <c:v>140.86024995743279</c:v>
                </c:pt>
                <c:pt idx="53">
                  <c:v>141.08364542567716</c:v>
                </c:pt>
                <c:pt idx="54">
                  <c:v>141.64951051419061</c:v>
                </c:pt>
                <c:pt idx="55">
                  <c:v>151.35971297620407</c:v>
                </c:pt>
              </c:numCache>
            </c:numRef>
          </c:yVal>
          <c:smooth val="1"/>
        </c:ser>
        <c:dLbls>
          <c:showLegendKey val="0"/>
          <c:showVal val="0"/>
          <c:showCatName val="0"/>
          <c:showSerName val="0"/>
          <c:showPercent val="0"/>
          <c:showBubbleSize val="0"/>
        </c:dLbls>
        <c:axId val="211095552"/>
        <c:axId val="211667200"/>
      </c:scatterChart>
      <c:valAx>
        <c:axId val="211663488"/>
        <c:scaling>
          <c:logBase val="10"/>
          <c:orientation val="minMax"/>
        </c:scaling>
        <c:delete val="0"/>
        <c:axPos val="b"/>
        <c:majorGridlines/>
        <c:title>
          <c:overlay val="0"/>
        </c:title>
        <c:numFmt formatCode="General" sourceLinked="0"/>
        <c:majorTickMark val="out"/>
        <c:minorTickMark val="none"/>
        <c:tickLblPos val="low"/>
        <c:crossAx val="211665664"/>
        <c:crosses val="autoZero"/>
        <c:crossBetween val="midCat"/>
      </c:valAx>
      <c:valAx>
        <c:axId val="211665664"/>
        <c:scaling>
          <c:orientation val="minMax"/>
        </c:scaling>
        <c:delete val="0"/>
        <c:axPos val="l"/>
        <c:majorGridlines/>
        <c:numFmt formatCode="General" sourceLinked="0"/>
        <c:majorTickMark val="out"/>
        <c:minorTickMark val="none"/>
        <c:tickLblPos val="nextTo"/>
        <c:crossAx val="211663488"/>
        <c:crosses val="autoZero"/>
        <c:crossBetween val="midCat"/>
        <c:majorUnit val="20"/>
      </c:valAx>
      <c:valAx>
        <c:axId val="211667200"/>
        <c:scaling>
          <c:orientation val="minMax"/>
          <c:max val="180"/>
          <c:min val="-180"/>
        </c:scaling>
        <c:delete val="0"/>
        <c:axPos val="r"/>
        <c:numFmt formatCode="General" sourceLinked="1"/>
        <c:majorTickMark val="out"/>
        <c:minorTickMark val="none"/>
        <c:tickLblPos val="nextTo"/>
        <c:crossAx val="211095552"/>
        <c:crosses val="max"/>
        <c:crossBetween val="midCat"/>
      </c:valAx>
      <c:valAx>
        <c:axId val="211095552"/>
        <c:scaling>
          <c:logBase val="10"/>
          <c:orientation val="minMax"/>
        </c:scaling>
        <c:delete val="1"/>
        <c:axPos val="b"/>
        <c:majorGridlines/>
        <c:minorGridlines/>
        <c:numFmt formatCode="##0.000E+0" sourceLinked="1"/>
        <c:majorTickMark val="out"/>
        <c:minorTickMark val="none"/>
        <c:tickLblPos val="nextTo"/>
        <c:crossAx val="21166720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Opto_GAIN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36.847300894096328</c:v>
                </c:pt>
                <c:pt idx="1">
                  <c:v>30.826756971370134</c:v>
                </c:pt>
                <c:pt idx="2">
                  <c:v>27.305025106240176</c:v>
                </c:pt>
                <c:pt idx="3">
                  <c:v>24.806381013080316</c:v>
                </c:pt>
                <c:pt idx="4">
                  <c:v>22.868348711576875</c:v>
                </c:pt>
                <c:pt idx="5">
                  <c:v>21.284929064600355</c:v>
                </c:pt>
                <c:pt idx="6">
                  <c:v>19.946235855986806</c:v>
                </c:pt>
                <c:pt idx="7">
                  <c:v>18.786676804197217</c:v>
                </c:pt>
                <c:pt idx="8">
                  <c:v>17.763943539560685</c:v>
                </c:pt>
                <c:pt idx="9">
                  <c:v>16.849148201026125</c:v>
                </c:pt>
                <c:pt idx="10">
                  <c:v>10.834141390194752</c:v>
                </c:pt>
                <c:pt idx="11">
                  <c:v>7.3216220564668486</c:v>
                </c:pt>
                <c:pt idx="12">
                  <c:v>4.8358420751327706</c:v>
                </c:pt>
                <c:pt idx="13">
                  <c:v>2.9142923756215677</c:v>
                </c:pt>
                <c:pt idx="14">
                  <c:v>1.3509317577498217</c:v>
                </c:pt>
                <c:pt idx="15">
                  <c:v>3.5823318936722574E-2</c:v>
                </c:pt>
                <c:pt idx="16">
                  <c:v>-1.096684117656002</c:v>
                </c:pt>
                <c:pt idx="17">
                  <c:v>-2.0889655533238254</c:v>
                </c:pt>
                <c:pt idx="18">
                  <c:v>-2.9699826941727903</c:v>
                </c:pt>
                <c:pt idx="19">
                  <c:v>-8.4844589229356018</c:v>
                </c:pt>
                <c:pt idx="20">
                  <c:v>-11.275275905674739</c:v>
                </c:pt>
                <c:pt idx="21">
                  <c:v>-12.921717433089157</c:v>
                </c:pt>
                <c:pt idx="22">
                  <c:v>-13.96422234950743</c:v>
                </c:pt>
                <c:pt idx="23">
                  <c:v>-14.656927467829524</c:v>
                </c:pt>
                <c:pt idx="24">
                  <c:v>-15.135472239830506</c:v>
                </c:pt>
                <c:pt idx="25">
                  <c:v>-15.477259328140075</c:v>
                </c:pt>
                <c:pt idx="26">
                  <c:v>-15.728553879274916</c:v>
                </c:pt>
                <c:pt idx="27">
                  <c:v>-15.918076986959555</c:v>
                </c:pt>
                <c:pt idx="28">
                  <c:v>-16.60313939390501</c:v>
                </c:pt>
                <c:pt idx="29">
                  <c:v>-16.774727244507538</c:v>
                </c:pt>
                <c:pt idx="30">
                  <c:v>-16.874041368129433</c:v>
                </c:pt>
                <c:pt idx="31">
                  <c:v>-16.961431173751606</c:v>
                </c:pt>
                <c:pt idx="32">
                  <c:v>-17.051742316088912</c:v>
                </c:pt>
                <c:pt idx="33">
                  <c:v>-17.149626202821612</c:v>
                </c:pt>
                <c:pt idx="34">
                  <c:v>-17.256548855994915</c:v>
                </c:pt>
                <c:pt idx="35">
                  <c:v>-17.372746545701776</c:v>
                </c:pt>
                <c:pt idx="36">
                  <c:v>-17.497909071902274</c:v>
                </c:pt>
                <c:pt idx="37">
                  <c:v>-19.089711855549105</c:v>
                </c:pt>
                <c:pt idx="38">
                  <c:v>-20.879222461449565</c:v>
                </c:pt>
                <c:pt idx="39">
                  <c:v>-22.560245668007081</c:v>
                </c:pt>
                <c:pt idx="40">
                  <c:v>-24.060540396652968</c:v>
                </c:pt>
                <c:pt idx="41">
                  <c:v>-25.386361816321031</c:v>
                </c:pt>
                <c:pt idx="42">
                  <c:v>-26.562108549779513</c:v>
                </c:pt>
                <c:pt idx="43">
                  <c:v>-27.61264949592055</c:v>
                </c:pt>
                <c:pt idx="44">
                  <c:v>-28.5591424580001</c:v>
                </c:pt>
                <c:pt idx="45">
                  <c:v>-29.418690498292502</c:v>
                </c:pt>
                <c:pt idx="46">
                  <c:v>-35.256573768308208</c:v>
                </c:pt>
                <c:pt idx="47">
                  <c:v>-38.743701712123467</c:v>
                </c:pt>
                <c:pt idx="48">
                  <c:v>-41.2302665697257</c:v>
                </c:pt>
                <c:pt idx="49">
                  <c:v>-43.162803750486134</c:v>
                </c:pt>
                <c:pt idx="50">
                  <c:v>-44.743349330315219</c:v>
                </c:pt>
                <c:pt idx="51">
                  <c:v>-46.080427320788687</c:v>
                </c:pt>
                <c:pt idx="52">
                  <c:v>-47.239060049529357</c:v>
                </c:pt>
                <c:pt idx="53">
                  <c:v>-48.261283330539641</c:v>
                </c:pt>
                <c:pt idx="54">
                  <c:v>-49.175841376652144</c:v>
                </c:pt>
                <c:pt idx="55">
                  <c:v>-55.194548657198837</c:v>
                </c:pt>
              </c:numCache>
            </c:numRef>
          </c:yVal>
          <c:smooth val="1"/>
        </c:ser>
        <c:dLbls>
          <c:showLegendKey val="0"/>
          <c:showVal val="0"/>
          <c:showCatName val="0"/>
          <c:showSerName val="0"/>
          <c:showPercent val="0"/>
          <c:showBubbleSize val="0"/>
        </c:dLbls>
        <c:axId val="211154432"/>
        <c:axId val="211156352"/>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90.116423829753501</c:v>
                </c:pt>
                <c:pt idx="1">
                  <c:v>90.232846638038481</c:v>
                </c:pt>
                <c:pt idx="2">
                  <c:v>90.349267403439185</c:v>
                </c:pt>
                <c:pt idx="3">
                  <c:v>90.465685104645175</c:v>
                </c:pt>
                <c:pt idx="4">
                  <c:v>90.582098720504106</c:v>
                </c:pt>
                <c:pt idx="5">
                  <c:v>90.698507230074341</c:v>
                </c:pt>
                <c:pt idx="6">
                  <c:v>90.81490961267761</c:v>
                </c:pt>
                <c:pt idx="7">
                  <c:v>90.93130484795158</c:v>
                </c:pt>
                <c:pt idx="8">
                  <c:v>91.047691915902377</c:v>
                </c:pt>
                <c:pt idx="9">
                  <c:v>91.164069796957165</c:v>
                </c:pt>
                <c:pt idx="10">
                  <c:v>92.327119428022698</c:v>
                </c:pt>
                <c:pt idx="11">
                  <c:v>93.488133974634337</c:v>
                </c:pt>
                <c:pt idx="12">
                  <c:v>94.646108945596538</c:v>
                </c:pt>
                <c:pt idx="13">
                  <c:v>95.800055324137944</c:v>
                </c:pt>
                <c:pt idx="14">
                  <c:v>96.949004419451825</c:v>
                </c:pt>
                <c:pt idx="15">
                  <c:v>98.092012464754205</c:v>
                </c:pt>
                <c:pt idx="16">
                  <c:v>99.228164909724299</c:v>
                </c:pt>
                <c:pt idx="17">
                  <c:v>100.35658036206051</c:v>
                </c:pt>
                <c:pt idx="18">
                  <c:v>101.47641414055499</c:v>
                </c:pt>
                <c:pt idx="19">
                  <c:v>112.04811841315853</c:v>
                </c:pt>
                <c:pt idx="20">
                  <c:v>121.17030909751344</c:v>
                </c:pt>
                <c:pt idx="21">
                  <c:v>128.72133608333513</c:v>
                </c:pt>
                <c:pt idx="22">
                  <c:v>134.84519718661599</c:v>
                </c:pt>
                <c:pt idx="23">
                  <c:v>139.78192612605116</c:v>
                </c:pt>
                <c:pt idx="24">
                  <c:v>143.77110750746405</c:v>
                </c:pt>
                <c:pt idx="25">
                  <c:v>147.01581813146683</c:v>
                </c:pt>
                <c:pt idx="26">
                  <c:v>149.67683734811408</c:v>
                </c:pt>
                <c:pt idx="27">
                  <c:v>151.87791872970212</c:v>
                </c:pt>
                <c:pt idx="28">
                  <c:v>161.70116539673296</c:v>
                </c:pt>
                <c:pt idx="29">
                  <c:v>163.77556265184919</c:v>
                </c:pt>
                <c:pt idx="30">
                  <c:v>163.70668075911709</c:v>
                </c:pt>
                <c:pt idx="31">
                  <c:v>162.7764221185121</c:v>
                </c:pt>
                <c:pt idx="32">
                  <c:v>161.43209481230289</c:v>
                </c:pt>
                <c:pt idx="33">
                  <c:v>159.87152679216391</c:v>
                </c:pt>
                <c:pt idx="34">
                  <c:v>158.19666786932422</c:v>
                </c:pt>
                <c:pt idx="35">
                  <c:v>156.46595416094186</c:v>
                </c:pt>
                <c:pt idx="36">
                  <c:v>154.71552698440007</c:v>
                </c:pt>
                <c:pt idx="37">
                  <c:v>138.94696628375439</c:v>
                </c:pt>
                <c:pt idx="38">
                  <c:v>127.87174562370832</c:v>
                </c:pt>
                <c:pt idx="39">
                  <c:v>120.39328596693804</c:v>
                </c:pt>
                <c:pt idx="40">
                  <c:v>115.19479799049424</c:v>
                </c:pt>
                <c:pt idx="41">
                  <c:v>111.43497035843453</c:v>
                </c:pt>
                <c:pt idx="42">
                  <c:v>108.61362828811397</c:v>
                </c:pt>
                <c:pt idx="43">
                  <c:v>106.42896389402719</c:v>
                </c:pt>
                <c:pt idx="44">
                  <c:v>104.69235012493108</c:v>
                </c:pt>
                <c:pt idx="45">
                  <c:v>103.28135738646054</c:v>
                </c:pt>
                <c:pt idx="46">
                  <c:v>96.736910045880748</c:v>
                </c:pt>
                <c:pt idx="47">
                  <c:v>94.503517574512983</c:v>
                </c:pt>
                <c:pt idx="48">
                  <c:v>93.380873208338215</c:v>
                </c:pt>
                <c:pt idx="49">
                  <c:v>92.705899414854798</c:v>
                </c:pt>
                <c:pt idx="50">
                  <c:v>92.255460430218534</c:v>
                </c:pt>
                <c:pt idx="51">
                  <c:v>91.933533274751667</c:v>
                </c:pt>
                <c:pt idx="52">
                  <c:v>91.692001536586105</c:v>
                </c:pt>
                <c:pt idx="53">
                  <c:v>91.504098852301269</c:v>
                </c:pt>
                <c:pt idx="54">
                  <c:v>91.353751737714489</c:v>
                </c:pt>
                <c:pt idx="55">
                  <c:v>90.676976253757374</c:v>
                </c:pt>
              </c:numCache>
            </c:numRef>
          </c:yVal>
          <c:smooth val="1"/>
        </c:ser>
        <c:dLbls>
          <c:showLegendKey val="0"/>
          <c:showVal val="0"/>
          <c:showCatName val="0"/>
          <c:showSerName val="0"/>
          <c:showPercent val="0"/>
          <c:showBubbleSize val="0"/>
        </c:dLbls>
        <c:axId val="211286656"/>
        <c:axId val="211285120"/>
      </c:scatterChart>
      <c:valAx>
        <c:axId val="211154432"/>
        <c:scaling>
          <c:logBase val="10"/>
          <c:orientation val="minMax"/>
        </c:scaling>
        <c:delete val="0"/>
        <c:axPos val="b"/>
        <c:majorGridlines/>
        <c:title>
          <c:overlay val="0"/>
        </c:title>
        <c:numFmt formatCode="General" sourceLinked="0"/>
        <c:majorTickMark val="out"/>
        <c:minorTickMark val="none"/>
        <c:tickLblPos val="low"/>
        <c:crossAx val="211156352"/>
        <c:crosses val="autoZero"/>
        <c:crossBetween val="midCat"/>
      </c:valAx>
      <c:valAx>
        <c:axId val="211156352"/>
        <c:scaling>
          <c:orientation val="minMax"/>
        </c:scaling>
        <c:delete val="0"/>
        <c:axPos val="l"/>
        <c:majorGridlines/>
        <c:numFmt formatCode="General" sourceLinked="0"/>
        <c:majorTickMark val="out"/>
        <c:minorTickMark val="none"/>
        <c:tickLblPos val="nextTo"/>
        <c:crossAx val="211154432"/>
        <c:crosses val="autoZero"/>
        <c:crossBetween val="midCat"/>
        <c:majorUnit val="20"/>
      </c:valAx>
      <c:valAx>
        <c:axId val="211285120"/>
        <c:scaling>
          <c:orientation val="minMax"/>
          <c:max val="180"/>
          <c:min val="-180"/>
        </c:scaling>
        <c:delete val="0"/>
        <c:axPos val="r"/>
        <c:numFmt formatCode="General" sourceLinked="1"/>
        <c:majorTickMark val="out"/>
        <c:minorTickMark val="none"/>
        <c:tickLblPos val="nextTo"/>
        <c:crossAx val="211286656"/>
        <c:crosses val="max"/>
        <c:crossBetween val="midCat"/>
      </c:valAx>
      <c:valAx>
        <c:axId val="211286656"/>
        <c:scaling>
          <c:logBase val="10"/>
          <c:orientation val="minMax"/>
        </c:scaling>
        <c:delete val="1"/>
        <c:axPos val="b"/>
        <c:majorGridlines/>
        <c:minorGridlines/>
        <c:numFmt formatCode="##0.000E+0" sourceLinked="1"/>
        <c:majorTickMark val="out"/>
        <c:minorTickMark val="none"/>
        <c:tickLblPos val="nextTo"/>
        <c:crossAx val="2112851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Non Opto_GAIN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36.074146183192738</c:v>
                </c:pt>
                <c:pt idx="1">
                  <c:v>30.053598424390358</c:v>
                </c:pt>
                <c:pt idx="2">
                  <c:v>26.531860166012521</c:v>
                </c:pt>
                <c:pt idx="3">
                  <c:v>24.033207122751445</c:v>
                </c:pt>
                <c:pt idx="4">
                  <c:v>22.095163314739402</c:v>
                </c:pt>
                <c:pt idx="5">
                  <c:v>20.51172960541993</c:v>
                </c:pt>
                <c:pt idx="6">
                  <c:v>19.173019779329451</c:v>
                </c:pt>
                <c:pt idx="7">
                  <c:v>18.013441555756359</c:v>
                </c:pt>
                <c:pt idx="8">
                  <c:v>16.990686565984305</c:v>
                </c:pt>
                <c:pt idx="9">
                  <c:v>16.075866950043526</c:v>
                </c:pt>
                <c:pt idx="10">
                  <c:v>10.060477318587804</c:v>
                </c:pt>
                <c:pt idx="11">
                  <c:v>6.5473220617681696</c:v>
                </c:pt>
                <c:pt idx="12">
                  <c:v>4.060656194356163</c:v>
                </c:pt>
                <c:pt idx="13">
                  <c:v>2.1379749868204621</c:v>
                </c:pt>
                <c:pt idx="14">
                  <c:v>0.57324272883455862</c:v>
                </c:pt>
                <c:pt idx="15">
                  <c:v>-0.74347090924857928</c:v>
                </c:pt>
                <c:pt idx="16">
                  <c:v>-1.8778095255453811</c:v>
                </c:pt>
                <c:pt idx="17">
                  <c:v>-2.8721396240178727</c:v>
                </c:pt>
                <c:pt idx="18">
                  <c:v>-3.7554135900705967</c:v>
                </c:pt>
                <c:pt idx="19">
                  <c:v>-9.3014769688044137</c:v>
                </c:pt>
                <c:pt idx="20">
                  <c:v>-12.132212029581078</c:v>
                </c:pt>
                <c:pt idx="21">
                  <c:v>-13.817813609490713</c:v>
                </c:pt>
                <c:pt idx="22">
                  <c:v>-14.894261186547919</c:v>
                </c:pt>
                <c:pt idx="23">
                  <c:v>-15.614648798053878</c:v>
                </c:pt>
                <c:pt idx="24">
                  <c:v>-16.115171429571301</c:v>
                </c:pt>
                <c:pt idx="25">
                  <c:v>-16.474261642445892</c:v>
                </c:pt>
                <c:pt idx="26">
                  <c:v>-16.73919953505704</c:v>
                </c:pt>
                <c:pt idx="27">
                  <c:v>-16.939551705854022</c:v>
                </c:pt>
                <c:pt idx="28">
                  <c:v>-17.667142563375513</c:v>
                </c:pt>
                <c:pt idx="29">
                  <c:v>-17.848537444936152</c:v>
                </c:pt>
                <c:pt idx="30">
                  <c:v>-17.951771712439029</c:v>
                </c:pt>
                <c:pt idx="31">
                  <c:v>-18.04136324817868</c:v>
                </c:pt>
                <c:pt idx="32">
                  <c:v>-18.133242965770197</c:v>
                </c:pt>
                <c:pt idx="33">
                  <c:v>-18.232435705914302</c:v>
                </c:pt>
                <c:pt idx="34">
                  <c:v>-18.340557908950114</c:v>
                </c:pt>
                <c:pt idx="35">
                  <c:v>-18.457911310082839</c:v>
                </c:pt>
                <c:pt idx="36">
                  <c:v>-18.584214256970316</c:v>
                </c:pt>
                <c:pt idx="37">
                  <c:v>-20.186866637834878</c:v>
                </c:pt>
                <c:pt idx="38">
                  <c:v>-21.98435622935078</c:v>
                </c:pt>
                <c:pt idx="39">
                  <c:v>-23.670369160966249</c:v>
                </c:pt>
                <c:pt idx="40">
                  <c:v>-25.173739797658207</c:v>
                </c:pt>
                <c:pt idx="41">
                  <c:v>-26.501519829454466</c:v>
                </c:pt>
                <c:pt idx="42">
                  <c:v>-27.678566776204864</c:v>
                </c:pt>
                <c:pt idx="43">
                  <c:v>-28.73000582464941</c:v>
                </c:pt>
                <c:pt idx="44">
                  <c:v>-29.677141237464127</c:v>
                </c:pt>
                <c:pt idx="45">
                  <c:v>-30.537162910106925</c:v>
                </c:pt>
                <c:pt idx="46">
                  <c:v>-36.376645324281959</c:v>
                </c:pt>
                <c:pt idx="47">
                  <c:v>-39.864084493822737</c:v>
                </c:pt>
                <c:pt idx="48">
                  <c:v>-42.350759454575872</c:v>
                </c:pt>
                <c:pt idx="49">
                  <c:v>-44.283347805979034</c:v>
                </c:pt>
                <c:pt idx="50">
                  <c:v>-45.863921237805471</c:v>
                </c:pt>
                <c:pt idx="51">
                  <c:v>-47.201016041116844</c:v>
                </c:pt>
                <c:pt idx="52">
                  <c:v>-48.359659689680811</c:v>
                </c:pt>
                <c:pt idx="53">
                  <c:v>-49.381890460766286</c:v>
                </c:pt>
                <c:pt idx="54">
                  <c:v>-50.296453866223345</c:v>
                </c:pt>
                <c:pt idx="55">
                  <c:v>-56.315178292302519</c:v>
                </c:pt>
              </c:numCache>
            </c:numRef>
          </c:yVal>
          <c:smooth val="1"/>
        </c:ser>
        <c:dLbls>
          <c:showLegendKey val="0"/>
          <c:showVal val="0"/>
          <c:showCatName val="0"/>
          <c:showSerName val="0"/>
          <c:showPercent val="0"/>
          <c:showBubbleSize val="0"/>
        </c:dLbls>
        <c:axId val="211173760"/>
        <c:axId val="211175680"/>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90.112273046939066</c:v>
                </c:pt>
                <c:pt idx="1">
                  <c:v>90.224545175521428</c:v>
                </c:pt>
                <c:pt idx="2">
                  <c:v>90.336815467434477</c:v>
                </c:pt>
                <c:pt idx="3">
                  <c:v>90.449083004453897</c:v>
                </c:pt>
                <c:pt idx="4">
                  <c:v>90.561346868487746</c:v>
                </c:pt>
                <c:pt idx="5">
                  <c:v>90.673606141620525</c:v>
                </c:pt>
                <c:pt idx="6">
                  <c:v>90.785859906157356</c:v>
                </c:pt>
                <c:pt idx="7">
                  <c:v>90.898107244667926</c:v>
                </c:pt>
                <c:pt idx="8">
                  <c:v>91.010347240030569</c:v>
                </c:pt>
                <c:pt idx="9">
                  <c:v>91.122578975476259</c:v>
                </c:pt>
                <c:pt idx="10">
                  <c:v>92.244240685243639</c:v>
                </c:pt>
                <c:pt idx="11">
                  <c:v>93.364072259448179</c:v>
                </c:pt>
                <c:pt idx="12">
                  <c:v>94.481169567412735</c:v>
                </c:pt>
                <c:pt idx="13">
                  <c:v>95.594641457061542</c:v>
                </c:pt>
                <c:pt idx="14">
                  <c:v>96.703613841376395</c:v>
                </c:pt>
                <c:pt idx="15">
                  <c:v>97.807233586154652</c:v>
                </c:pt>
                <c:pt idx="16">
                  <c:v>98.90467215760728</c:v>
                </c:pt>
                <c:pt idx="17">
                  <c:v>99.995128993388974</c:v>
                </c:pt>
                <c:pt idx="18">
                  <c:v>101.07783456632013</c:v>
                </c:pt>
                <c:pt idx="19">
                  <c:v>111.3358597267499</c:v>
                </c:pt>
                <c:pt idx="20">
                  <c:v>120.26284869277177</c:v>
                </c:pt>
                <c:pt idx="21">
                  <c:v>127.72186563070386</c:v>
                </c:pt>
                <c:pt idx="22">
                  <c:v>133.8238776703771</c:v>
                </c:pt>
                <c:pt idx="23">
                  <c:v>138.77947083210617</c:v>
                </c:pt>
                <c:pt idx="24">
                  <c:v>142.80821449379866</c:v>
                </c:pt>
                <c:pt idx="25">
                  <c:v>146.10125660176064</c:v>
                </c:pt>
                <c:pt idx="26">
                  <c:v>148.8128024796477</c:v>
                </c:pt>
                <c:pt idx="27">
                  <c:v>151.06320968801123</c:v>
                </c:pt>
                <c:pt idx="28">
                  <c:v>161.20920326165938</c:v>
                </c:pt>
                <c:pt idx="29">
                  <c:v>163.41975574129057</c:v>
                </c:pt>
                <c:pt idx="30">
                  <c:v>163.41891065308928</c:v>
                </c:pt>
                <c:pt idx="31">
                  <c:v>162.52701583446023</c:v>
                </c:pt>
                <c:pt idx="32">
                  <c:v>161.20590512649358</c:v>
                </c:pt>
                <c:pt idx="33">
                  <c:v>159.65999041155143</c:v>
                </c:pt>
                <c:pt idx="34">
                  <c:v>157.99461993045347</c:v>
                </c:pt>
                <c:pt idx="35">
                  <c:v>156.27015466350346</c:v>
                </c:pt>
                <c:pt idx="36">
                  <c:v>154.52390181143537</c:v>
                </c:pt>
                <c:pt idx="37">
                  <c:v>138.76937439384659</c:v>
                </c:pt>
                <c:pt idx="38">
                  <c:v>127.7116740124636</c:v>
                </c:pt>
                <c:pt idx="39">
                  <c:v>120.25357470186337</c:v>
                </c:pt>
                <c:pt idx="40">
                  <c:v>115.07331745123896</c:v>
                </c:pt>
                <c:pt idx="41">
                  <c:v>111.3285792740587</c:v>
                </c:pt>
                <c:pt idx="42">
                  <c:v>108.51950015012685</c:v>
                </c:pt>
                <c:pt idx="43">
                  <c:v>106.3448269655339</c:v>
                </c:pt>
                <c:pt idx="44">
                  <c:v>104.61643303222905</c:v>
                </c:pt>
                <c:pt idx="45">
                  <c:v>103.21228301429713</c:v>
                </c:pt>
                <c:pt idx="46">
                  <c:v>96.701108196778762</c:v>
                </c:pt>
                <c:pt idx="47">
                  <c:v>94.479485561898798</c:v>
                </c:pt>
                <c:pt idx="48">
                  <c:v>93.362805653289016</c:v>
                </c:pt>
                <c:pt idx="49">
                  <c:v>92.691429180288452</c:v>
                </c:pt>
                <c:pt idx="50">
                  <c:v>92.243394557661347</c:v>
                </c:pt>
                <c:pt idx="51">
                  <c:v>91.923187298502782</c:v>
                </c:pt>
                <c:pt idx="52">
                  <c:v>91.682946647928716</c:v>
                </c:pt>
                <c:pt idx="53">
                  <c:v>91.496048745765663</c:v>
                </c:pt>
                <c:pt idx="54">
                  <c:v>91.346505793964482</c:v>
                </c:pt>
                <c:pt idx="55">
                  <c:v>90.673351925636879</c:v>
                </c:pt>
              </c:numCache>
            </c:numRef>
          </c:yVal>
          <c:smooth val="1"/>
        </c:ser>
        <c:dLbls>
          <c:showLegendKey val="0"/>
          <c:showVal val="0"/>
          <c:showCatName val="0"/>
          <c:showSerName val="0"/>
          <c:showPercent val="0"/>
          <c:showBubbleSize val="0"/>
        </c:dLbls>
        <c:axId val="211187200"/>
        <c:axId val="211185664"/>
      </c:scatterChart>
      <c:valAx>
        <c:axId val="211173760"/>
        <c:scaling>
          <c:logBase val="10"/>
          <c:orientation val="minMax"/>
        </c:scaling>
        <c:delete val="0"/>
        <c:axPos val="b"/>
        <c:majorGridlines/>
        <c:title>
          <c:overlay val="0"/>
        </c:title>
        <c:numFmt formatCode="General" sourceLinked="0"/>
        <c:majorTickMark val="out"/>
        <c:minorTickMark val="none"/>
        <c:tickLblPos val="low"/>
        <c:crossAx val="211175680"/>
        <c:crosses val="autoZero"/>
        <c:crossBetween val="midCat"/>
      </c:valAx>
      <c:valAx>
        <c:axId val="211175680"/>
        <c:scaling>
          <c:orientation val="minMax"/>
        </c:scaling>
        <c:delete val="0"/>
        <c:axPos val="l"/>
        <c:majorGridlines/>
        <c:numFmt formatCode="General" sourceLinked="0"/>
        <c:majorTickMark val="out"/>
        <c:minorTickMark val="none"/>
        <c:tickLblPos val="nextTo"/>
        <c:crossAx val="211173760"/>
        <c:crosses val="autoZero"/>
        <c:crossBetween val="midCat"/>
        <c:majorUnit val="20"/>
      </c:valAx>
      <c:valAx>
        <c:axId val="211185664"/>
        <c:scaling>
          <c:orientation val="minMax"/>
          <c:max val="180"/>
          <c:min val="-180"/>
        </c:scaling>
        <c:delete val="0"/>
        <c:axPos val="r"/>
        <c:numFmt formatCode="General" sourceLinked="0"/>
        <c:majorTickMark val="out"/>
        <c:minorTickMark val="none"/>
        <c:tickLblPos val="nextTo"/>
        <c:crossAx val="211187200"/>
        <c:crosses val="max"/>
        <c:crossBetween val="midCat"/>
      </c:valAx>
      <c:valAx>
        <c:axId val="211187200"/>
        <c:scaling>
          <c:logBase val="10"/>
          <c:orientation val="minMax"/>
        </c:scaling>
        <c:delete val="1"/>
        <c:axPos val="b"/>
        <c:majorGridlines/>
        <c:minorGridlines/>
        <c:numFmt formatCode="##0.000E+0" sourceLinked="1"/>
        <c:majorTickMark val="out"/>
        <c:minorTickMark val="none"/>
        <c:tickLblPos val="nextTo"/>
        <c:crossAx val="2111856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External Componets</a:t>
            </a:r>
          </a:p>
        </c:rich>
      </c:tx>
      <c:layout/>
      <c:overlay val="0"/>
    </c:title>
    <c:autoTitleDeleted val="0"/>
    <c:plotArea>
      <c:layout/>
      <c:barChart>
        <c:barDir val="col"/>
        <c:grouping val="clustered"/>
        <c:varyColors val="0"/>
        <c:ser>
          <c:idx val="0"/>
          <c:order val="0"/>
          <c:spPr>
            <a:solidFill>
              <a:srgbClr val="FF0000"/>
            </a:solidFill>
            <a:ln>
              <a:solidFill>
                <a:schemeClr val="tx1"/>
              </a:solidFill>
            </a:ln>
          </c:spPr>
          <c:invertIfNegative val="0"/>
          <c:cat>
            <c:strLit>
              <c:ptCount val="8"/>
              <c:pt idx="0">
                <c:v>Fly-Buck</c:v>
              </c:pt>
              <c:pt idx="1">
                <c:v>Fly-Buck-Boost</c:v>
              </c:pt>
              <c:pt idx="2">
                <c:v>Flyback CCM ISO</c:v>
              </c:pt>
              <c:pt idx="3">
                <c:v>Flyback CCM Non-ISO</c:v>
              </c:pt>
              <c:pt idx="4">
                <c:v>Flyback CCM PSR</c:v>
              </c:pt>
              <c:pt idx="5">
                <c:v>Flyback DCM Iso</c:v>
              </c:pt>
              <c:pt idx="6">
                <c:v>Flyback DCM Non-Iso</c:v>
              </c:pt>
              <c:pt idx="7">
                <c:v>Flyback DCM PSR</c:v>
              </c:pt>
            </c:strLit>
          </c:cat>
          <c:val>
            <c:numRef>
              <c:f>Designs!$D$77:$D$84</c:f>
              <c:numCache>
                <c:formatCode>General</c:formatCode>
                <c:ptCount val="8"/>
                <c:pt idx="0">
                  <c:v>18</c:v>
                </c:pt>
                <c:pt idx="1">
                  <c:v>18</c:v>
                </c:pt>
                <c:pt idx="2">
                  <c:v>26</c:v>
                </c:pt>
                <c:pt idx="3">
                  <c:v>23</c:v>
                </c:pt>
                <c:pt idx="4">
                  <c:v>23</c:v>
                </c:pt>
                <c:pt idx="5">
                  <c:v>26</c:v>
                </c:pt>
                <c:pt idx="6">
                  <c:v>23</c:v>
                </c:pt>
                <c:pt idx="7">
                  <c:v>23</c:v>
                </c:pt>
              </c:numCache>
            </c:numRef>
          </c:val>
        </c:ser>
        <c:dLbls>
          <c:showLegendKey val="0"/>
          <c:showVal val="0"/>
          <c:showCatName val="0"/>
          <c:showSerName val="0"/>
          <c:showPercent val="0"/>
          <c:showBubbleSize val="0"/>
        </c:dLbls>
        <c:gapWidth val="150"/>
        <c:axId val="184435456"/>
        <c:axId val="184436992"/>
      </c:barChart>
      <c:catAx>
        <c:axId val="184435456"/>
        <c:scaling>
          <c:orientation val="minMax"/>
        </c:scaling>
        <c:delete val="0"/>
        <c:axPos val="b"/>
        <c:majorTickMark val="out"/>
        <c:minorTickMark val="none"/>
        <c:tickLblPos val="nextTo"/>
        <c:txPr>
          <a:bodyPr/>
          <a:lstStyle/>
          <a:p>
            <a:pPr>
              <a:defRPr sz="800"/>
            </a:pPr>
            <a:endParaRPr lang="en-US"/>
          </a:p>
        </c:txPr>
        <c:crossAx val="184436992"/>
        <c:crosses val="autoZero"/>
        <c:auto val="1"/>
        <c:lblAlgn val="ctr"/>
        <c:lblOffset val="100"/>
        <c:noMultiLvlLbl val="0"/>
      </c:catAx>
      <c:valAx>
        <c:axId val="184436992"/>
        <c:scaling>
          <c:orientation val="minMax"/>
        </c:scaling>
        <c:delete val="0"/>
        <c:axPos val="l"/>
        <c:majorGridlines/>
        <c:title>
          <c:tx>
            <c:rich>
              <a:bodyPr rot="-5400000" vert="horz"/>
              <a:lstStyle/>
              <a:p>
                <a:pPr>
                  <a:defRPr/>
                </a:pPr>
                <a:r>
                  <a:rPr lang="en-US"/>
                  <a:t>External</a:t>
                </a:r>
                <a:r>
                  <a:rPr lang="en-US" baseline="0"/>
                  <a:t> Componets</a:t>
                </a:r>
                <a:endParaRPr lang="en-US"/>
              </a:p>
            </c:rich>
          </c:tx>
          <c:layout/>
          <c:overlay val="0"/>
        </c:title>
        <c:numFmt formatCode="General" sourceLinked="1"/>
        <c:majorTickMark val="out"/>
        <c:minorTickMark val="none"/>
        <c:tickLblPos val="nextTo"/>
        <c:crossAx val="18443545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Opto Closed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60.777609267603268</c:v>
                </c:pt>
                <c:pt idx="1">
                  <c:v>54.757056199883181</c:v>
                </c:pt>
                <c:pt idx="2">
                  <c:v>51.235309093139605</c:v>
                </c:pt>
                <c:pt idx="3">
                  <c:v>48.73664366181049</c:v>
                </c:pt>
                <c:pt idx="4">
                  <c:v>46.798583925672034</c:v>
                </c:pt>
                <c:pt idx="5">
                  <c:v>45.215130747710262</c:v>
                </c:pt>
                <c:pt idx="6">
                  <c:v>43.876397911902409</c:v>
                </c:pt>
                <c:pt idx="7">
                  <c:v>42.716793136876433</c:v>
                </c:pt>
                <c:pt idx="8">
                  <c:v>41.694008053153851</c:v>
                </c:pt>
                <c:pt idx="9">
                  <c:v>40.779154799901789</c:v>
                </c:pt>
                <c:pt idx="10">
                  <c:v>34.763233648510095</c:v>
                </c:pt>
                <c:pt idx="11">
                  <c:v>31.249190841469208</c:v>
                </c:pt>
                <c:pt idx="12">
                  <c:v>28.761278894871285</c:v>
                </c:pt>
                <c:pt idx="13">
                  <c:v>26.836989634010166</c:v>
                </c:pt>
                <c:pt idx="14">
                  <c:v>25.270283008377358</c:v>
                </c:pt>
                <c:pt idx="15">
                  <c:v>23.951223517272403</c:v>
                </c:pt>
                <c:pt idx="16">
                  <c:v>22.814161635990672</c:v>
                </c:pt>
                <c:pt idx="17">
                  <c:v>21.816724263330947</c:v>
                </c:pt>
                <c:pt idx="18">
                  <c:v>20.929951838613704</c:v>
                </c:pt>
                <c:pt idx="19">
                  <c:v>15.325599261624326</c:v>
                </c:pt>
                <c:pt idx="20">
                  <c:v>12.389001765532392</c:v>
                </c:pt>
                <c:pt idx="21">
                  <c:v>10.546353999074384</c:v>
                </c:pt>
                <c:pt idx="22">
                  <c:v>9.2639463845852461</c:v>
                </c:pt>
                <c:pt idx="23">
                  <c:v>8.2949546808890613</c:v>
                </c:pt>
                <c:pt idx="24">
                  <c:v>7.5110484603855063</c:v>
                </c:pt>
                <c:pt idx="25">
                  <c:v>6.8416908669924865</c:v>
                </c:pt>
                <c:pt idx="26">
                  <c:v>6.2467631462942563</c:v>
                </c:pt>
                <c:pt idx="27">
                  <c:v>5.7028394749141214</c:v>
                </c:pt>
                <c:pt idx="28">
                  <c:v>1.520344243253497</c:v>
                </c:pt>
                <c:pt idx="29">
                  <c:v>-1.4885932871938419</c:v>
                </c:pt>
                <c:pt idx="30">
                  <c:v>-3.8195890229283709</c:v>
                </c:pt>
                <c:pt idx="31">
                  <c:v>-5.7162683478484251</c:v>
                </c:pt>
                <c:pt idx="32">
                  <c:v>-7.3190680493728486</c:v>
                </c:pt>
                <c:pt idx="33">
                  <c:v>-8.7129572962061861</c:v>
                </c:pt>
                <c:pt idx="34">
                  <c:v>-9.9521535254158664</c:v>
                </c:pt>
                <c:pt idx="35">
                  <c:v>-11.072914762496303</c:v>
                </c:pt>
                <c:pt idx="36">
                  <c:v>-12.100449223532545</c:v>
                </c:pt>
                <c:pt idx="37">
                  <c:v>-19.684180414996018</c:v>
                </c:pt>
                <c:pt idx="38">
                  <c:v>-25.001787923639341</c:v>
                </c:pt>
                <c:pt idx="39">
                  <c:v>-29.188349837472707</c:v>
                </c:pt>
                <c:pt idx="40">
                  <c:v>-32.631165873023022</c:v>
                </c:pt>
                <c:pt idx="41">
                  <c:v>-35.54280412606839</c:v>
                </c:pt>
                <c:pt idx="42">
                  <c:v>-38.058109351918489</c:v>
                </c:pt>
                <c:pt idx="43">
                  <c:v>-40.267955799441275</c:v>
                </c:pt>
                <c:pt idx="44">
                  <c:v>-42.236079573767157</c:v>
                </c:pt>
                <c:pt idx="45">
                  <c:v>-44.008644942910266</c:v>
                </c:pt>
                <c:pt idx="46">
                  <c:v>-55.820063643726996</c:v>
                </c:pt>
                <c:pt idx="47">
                  <c:v>-62.746205403378006</c:v>
                </c:pt>
                <c:pt idx="48">
                  <c:v>-67.61744055042108</c:v>
                </c:pt>
                <c:pt idx="49">
                  <c:v>-71.345539045872528</c:v>
                </c:pt>
                <c:pt idx="50">
                  <c:v>-74.341428794578178</c:v>
                </c:pt>
                <c:pt idx="51">
                  <c:v>-76.826589491415376</c:v>
                </c:pt>
                <c:pt idx="52">
                  <c:v>-78.934771299078051</c:v>
                </c:pt>
                <c:pt idx="53">
                  <c:v>-80.753402827939581</c:v>
                </c:pt>
                <c:pt idx="54">
                  <c:v>-82.343053587092442</c:v>
                </c:pt>
                <c:pt idx="55">
                  <c:v>-91.712730296011301</c:v>
                </c:pt>
              </c:numCache>
            </c:numRef>
          </c:yVal>
          <c:smooth val="1"/>
        </c:ser>
        <c:dLbls>
          <c:showLegendKey val="0"/>
          <c:showVal val="0"/>
          <c:showCatName val="0"/>
          <c:showSerName val="0"/>
          <c:showPercent val="0"/>
          <c:showBubbleSize val="0"/>
        </c:dLbls>
        <c:axId val="211291136"/>
        <c:axId val="211305600"/>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90.064394273117287</c:v>
                </c:pt>
                <c:pt idx="1">
                  <c:v>90.128787592159014</c:v>
                </c:pt>
                <c:pt idx="2">
                  <c:v>90.193179003101747</c:v>
                </c:pt>
                <c:pt idx="3">
                  <c:v>90.25756755202633</c:v>
                </c:pt>
                <c:pt idx="4">
                  <c:v>90.321952285169914</c:v>
                </c:pt>
                <c:pt idx="5">
                  <c:v>90.38633224897815</c:v>
                </c:pt>
                <c:pt idx="6">
                  <c:v>90.450706490157174</c:v>
                </c:pt>
                <c:pt idx="7">
                  <c:v>90.515074055725677</c:v>
                </c:pt>
                <c:pt idx="8">
                  <c:v>90.579433993066857</c:v>
                </c:pt>
                <c:pt idx="9">
                  <c:v>90.643785349980377</c:v>
                </c:pt>
                <c:pt idx="10">
                  <c:v>91.286617912963322</c:v>
                </c:pt>
                <c:pt idx="11">
                  <c:v>91.92755009256679</c:v>
                </c:pt>
                <c:pt idx="12">
                  <c:v>92.565644606466634</c:v>
                </c:pt>
                <c:pt idx="13">
                  <c:v>93.199979477097571</c:v>
                </c:pt>
                <c:pt idx="14">
                  <c:v>93.829652827193144</c:v>
                </c:pt>
                <c:pt idx="15">
                  <c:v>94.453787422315727</c:v>
                </c:pt>
                <c:pt idx="16">
                  <c:v>95.071534908356426</c:v>
                </c:pt>
                <c:pt idx="17">
                  <c:v>95.68207969884989</c:v>
                </c:pt>
                <c:pt idx="18">
                  <c:v>96.284642474617044</c:v>
                </c:pt>
                <c:pt idx="19">
                  <c:v>101.730578545432</c:v>
                </c:pt>
                <c:pt idx="20">
                  <c:v>105.85370927430378</c:v>
                </c:pt>
                <c:pt idx="21">
                  <c:v>108.58351247606005</c:v>
                </c:pt>
                <c:pt idx="22">
                  <c:v>110.10295154296011</c:v>
                </c:pt>
                <c:pt idx="23">
                  <c:v>110.6781259402326</c:v>
                </c:pt>
                <c:pt idx="24">
                  <c:v>110.56259911817365</c:v>
                </c:pt>
                <c:pt idx="25">
                  <c:v>109.96316246781674</c:v>
                </c:pt>
                <c:pt idx="26">
                  <c:v>109.03631553499319</c:v>
                </c:pt>
                <c:pt idx="27">
                  <c:v>107.89581356379743</c:v>
                </c:pt>
                <c:pt idx="28">
                  <c:v>94.487910622224362</c:v>
                </c:pt>
                <c:pt idx="29">
                  <c:v>83.433451214923707</c:v>
                </c:pt>
                <c:pt idx="30">
                  <c:v>74.317632884329484</c:v>
                </c:pt>
                <c:pt idx="31">
                  <c:v>66.27183806517867</c:v>
                </c:pt>
                <c:pt idx="32">
                  <c:v>58.8735082391715</c:v>
                </c:pt>
                <c:pt idx="33">
                  <c:v>51.915770732712474</c:v>
                </c:pt>
                <c:pt idx="34">
                  <c:v>45.290907443746832</c:v>
                </c:pt>
                <c:pt idx="35">
                  <c:v>38.939608195000794</c:v>
                </c:pt>
                <c:pt idx="36">
                  <c:v>32.827653962500911</c:v>
                </c:pt>
                <c:pt idx="37">
                  <c:v>-17.614328904173597</c:v>
                </c:pt>
                <c:pt idx="38">
                  <c:v>-52.319655563278438</c:v>
                </c:pt>
                <c:pt idx="39">
                  <c:v>-76.096357545797943</c:v>
                </c:pt>
                <c:pt idx="40">
                  <c:v>-92.797846321307546</c:v>
                </c:pt>
                <c:pt idx="41">
                  <c:v>-104.92429155534508</c:v>
                </c:pt>
                <c:pt idx="42">
                  <c:v>-114.01074475682574</c:v>
                </c:pt>
                <c:pt idx="43">
                  <c:v>-121.00753327281969</c:v>
                </c:pt>
                <c:pt idx="44">
                  <c:v>-126.51984754480972</c:v>
                </c:pt>
                <c:pt idx="45">
                  <c:v>-130.94590249837421</c:v>
                </c:pt>
                <c:pt idx="46">
                  <c:v>-149.70882496950085</c:v>
                </c:pt>
                <c:pt idx="47">
                  <c:v>-153.85488390034109</c:v>
                </c:pt>
                <c:pt idx="48">
                  <c:v>-154.27586539588225</c:v>
                </c:pt>
                <c:pt idx="49">
                  <c:v>-153.26130379835897</c:v>
                </c:pt>
                <c:pt idx="50">
                  <c:v>-151.59330136214541</c:v>
                </c:pt>
                <c:pt idx="51">
                  <c:v>-149.61436461451055</c:v>
                </c:pt>
                <c:pt idx="52">
                  <c:v>-147.49865946278831</c:v>
                </c:pt>
                <c:pt idx="53">
                  <c:v>-145.34336064757989</c:v>
                </c:pt>
                <c:pt idx="54">
                  <c:v>-143.20567636653627</c:v>
                </c:pt>
                <c:pt idx="55">
                  <c:v>-126.18525790810583</c:v>
                </c:pt>
              </c:numCache>
            </c:numRef>
          </c:yVal>
          <c:smooth val="1"/>
        </c:ser>
        <c:dLbls>
          <c:showLegendKey val="0"/>
          <c:showVal val="0"/>
          <c:showCatName val="0"/>
          <c:showSerName val="0"/>
          <c:showPercent val="0"/>
          <c:showBubbleSize val="0"/>
        </c:dLbls>
        <c:axId val="211313792"/>
        <c:axId val="211307520"/>
      </c:scatterChart>
      <c:valAx>
        <c:axId val="211291136"/>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211305600"/>
        <c:crosses val="autoZero"/>
        <c:crossBetween val="midCat"/>
      </c:valAx>
      <c:valAx>
        <c:axId val="21130560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211291136"/>
        <c:crosses val="autoZero"/>
        <c:crossBetween val="midCat"/>
        <c:majorUnit val="20"/>
      </c:valAx>
      <c:valAx>
        <c:axId val="21130752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1313792"/>
        <c:crosses val="max"/>
        <c:crossBetween val="midCat"/>
      </c:valAx>
      <c:valAx>
        <c:axId val="211313792"/>
        <c:scaling>
          <c:logBase val="10"/>
          <c:orientation val="minMax"/>
        </c:scaling>
        <c:delete val="1"/>
        <c:axPos val="b"/>
        <c:majorGridlines/>
        <c:minorGridlines/>
        <c:numFmt formatCode="##0.000E+0" sourceLinked="1"/>
        <c:majorTickMark val="out"/>
        <c:minorTickMark val="none"/>
        <c:tickLblPos val="nextTo"/>
        <c:crossAx val="21130752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NON Opto Closed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60.00445455669967</c:v>
                </c:pt>
                <c:pt idx="1">
                  <c:v>53.983897652903401</c:v>
                </c:pt>
                <c:pt idx="2">
                  <c:v>50.462144152911947</c:v>
                </c:pt>
                <c:pt idx="3">
                  <c:v>47.963469771481627</c:v>
                </c:pt>
                <c:pt idx="4">
                  <c:v>46.025398528834565</c:v>
                </c:pt>
                <c:pt idx="5">
                  <c:v>44.44193128852983</c:v>
                </c:pt>
                <c:pt idx="6">
                  <c:v>43.103181835245053</c:v>
                </c:pt>
                <c:pt idx="7">
                  <c:v>41.943557888435571</c:v>
                </c:pt>
                <c:pt idx="8">
                  <c:v>40.920751079577471</c:v>
                </c:pt>
                <c:pt idx="9">
                  <c:v>40.00587354891919</c:v>
                </c:pt>
                <c:pt idx="10">
                  <c:v>33.989569576903143</c:v>
                </c:pt>
                <c:pt idx="11">
                  <c:v>30.474890846770528</c:v>
                </c:pt>
                <c:pt idx="12">
                  <c:v>27.986093014094678</c:v>
                </c:pt>
                <c:pt idx="13">
                  <c:v>26.060672245209062</c:v>
                </c:pt>
                <c:pt idx="14">
                  <c:v>24.492593979462093</c:v>
                </c:pt>
                <c:pt idx="15">
                  <c:v>23.171929289087103</c:v>
                </c:pt>
                <c:pt idx="16">
                  <c:v>22.033036228101295</c:v>
                </c:pt>
                <c:pt idx="17">
                  <c:v>21.033550192636898</c:v>
                </c:pt>
                <c:pt idx="18">
                  <c:v>20.1445209427159</c:v>
                </c:pt>
                <c:pt idx="19">
                  <c:v>14.508581215755514</c:v>
                </c:pt>
                <c:pt idx="20">
                  <c:v>11.532065641626053</c:v>
                </c:pt>
                <c:pt idx="21">
                  <c:v>9.6502578226728275</c:v>
                </c:pt>
                <c:pt idx="22">
                  <c:v>8.3339075475447579</c:v>
                </c:pt>
                <c:pt idx="23">
                  <c:v>7.3372333506647074</c:v>
                </c:pt>
                <c:pt idx="24">
                  <c:v>6.5313492706447107</c:v>
                </c:pt>
                <c:pt idx="25">
                  <c:v>5.8446885526866694</c:v>
                </c:pt>
                <c:pt idx="26">
                  <c:v>5.2361174905121324</c:v>
                </c:pt>
                <c:pt idx="27">
                  <c:v>4.6813647560196543</c:v>
                </c:pt>
                <c:pt idx="28">
                  <c:v>0.45634107378299404</c:v>
                </c:pt>
                <c:pt idx="29">
                  <c:v>-2.562403487622456</c:v>
                </c:pt>
                <c:pt idx="30">
                  <c:v>-4.8973193672379676</c:v>
                </c:pt>
                <c:pt idx="31">
                  <c:v>-6.7962004222754988</c:v>
                </c:pt>
                <c:pt idx="32">
                  <c:v>-8.4005686990541335</c:v>
                </c:pt>
                <c:pt idx="33">
                  <c:v>-9.7957667992988764</c:v>
                </c:pt>
                <c:pt idx="34">
                  <c:v>-11.036162578371066</c:v>
                </c:pt>
                <c:pt idx="35">
                  <c:v>-12.158079526877366</c:v>
                </c:pt>
                <c:pt idx="36">
                  <c:v>-13.186754408600587</c:v>
                </c:pt>
                <c:pt idx="37">
                  <c:v>-20.781335197281791</c:v>
                </c:pt>
                <c:pt idx="38">
                  <c:v>-26.106921691540556</c:v>
                </c:pt>
                <c:pt idx="39">
                  <c:v>-30.298473330431875</c:v>
                </c:pt>
                <c:pt idx="40">
                  <c:v>-33.744365274028269</c:v>
                </c:pt>
                <c:pt idx="41">
                  <c:v>-36.657962139201828</c:v>
                </c:pt>
                <c:pt idx="42">
                  <c:v>-39.17456757834384</c:v>
                </c:pt>
                <c:pt idx="43">
                  <c:v>-41.385312128170135</c:v>
                </c:pt>
                <c:pt idx="44">
                  <c:v>-43.354078353231188</c:v>
                </c:pt>
                <c:pt idx="45">
                  <c:v>-45.127117354724689</c:v>
                </c:pt>
                <c:pt idx="46">
                  <c:v>-56.940135199700748</c:v>
                </c:pt>
                <c:pt idx="47">
                  <c:v>-63.866588185077276</c:v>
                </c:pt>
                <c:pt idx="48">
                  <c:v>-68.737933435271259</c:v>
                </c:pt>
                <c:pt idx="49">
                  <c:v>-72.466083101365427</c:v>
                </c:pt>
                <c:pt idx="50">
                  <c:v>-75.462000702068437</c:v>
                </c:pt>
                <c:pt idx="51">
                  <c:v>-77.947178211743534</c:v>
                </c:pt>
                <c:pt idx="52">
                  <c:v>-80.055370939229505</c:v>
                </c:pt>
                <c:pt idx="53">
                  <c:v>-81.874009958166226</c:v>
                </c:pt>
                <c:pt idx="54">
                  <c:v>-83.463666076663657</c:v>
                </c:pt>
                <c:pt idx="55">
                  <c:v>-92.833359931114984</c:v>
                </c:pt>
              </c:numCache>
            </c:numRef>
          </c:yVal>
          <c:smooth val="1"/>
        </c:ser>
        <c:dLbls>
          <c:showLegendKey val="0"/>
          <c:showVal val="0"/>
          <c:showCatName val="0"/>
          <c:showSerName val="0"/>
          <c:showPercent val="0"/>
          <c:showBubbleSize val="0"/>
        </c:dLbls>
        <c:axId val="211339904"/>
        <c:axId val="211346176"/>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90.060243490302867</c:v>
                </c:pt>
                <c:pt idx="1">
                  <c:v>90.120486129641961</c:v>
                </c:pt>
                <c:pt idx="2">
                  <c:v>90.180727067097052</c:v>
                </c:pt>
                <c:pt idx="3">
                  <c:v>90.240965451835038</c:v>
                </c:pt>
                <c:pt idx="4">
                  <c:v>90.301200433153539</c:v>
                </c:pt>
                <c:pt idx="5">
                  <c:v>90.361431160524319</c:v>
                </c:pt>
                <c:pt idx="6">
                  <c:v>90.421656783636919</c:v>
                </c:pt>
                <c:pt idx="7">
                  <c:v>90.481876452442023</c:v>
                </c:pt>
                <c:pt idx="8">
                  <c:v>90.542089317195064</c:v>
                </c:pt>
                <c:pt idx="9">
                  <c:v>90.602294528499456</c:v>
                </c:pt>
                <c:pt idx="10">
                  <c:v>91.203739170184264</c:v>
                </c:pt>
                <c:pt idx="11">
                  <c:v>91.803488377380631</c:v>
                </c:pt>
                <c:pt idx="12">
                  <c:v>92.400705228282831</c:v>
                </c:pt>
                <c:pt idx="13">
                  <c:v>92.994565610021198</c:v>
                </c:pt>
                <c:pt idx="14">
                  <c:v>93.5842622491177</c:v>
                </c:pt>
                <c:pt idx="15">
                  <c:v>94.169008543716174</c:v>
                </c:pt>
                <c:pt idx="16">
                  <c:v>94.748042156239435</c:v>
                </c:pt>
                <c:pt idx="17">
                  <c:v>95.320628330178351</c:v>
                </c:pt>
                <c:pt idx="18">
                  <c:v>95.8860629003822</c:v>
                </c:pt>
                <c:pt idx="19">
                  <c:v>101.01831985902331</c:v>
                </c:pt>
                <c:pt idx="20">
                  <c:v>104.94624886956208</c:v>
                </c:pt>
                <c:pt idx="21">
                  <c:v>107.58404202342875</c:v>
                </c:pt>
                <c:pt idx="22">
                  <c:v>109.08163202672128</c:v>
                </c:pt>
                <c:pt idx="23">
                  <c:v>109.67567064628754</c:v>
                </c:pt>
                <c:pt idx="24">
                  <c:v>109.59970610450826</c:v>
                </c:pt>
                <c:pt idx="25">
                  <c:v>109.04860093811067</c:v>
                </c:pt>
                <c:pt idx="26">
                  <c:v>108.17228066652679</c:v>
                </c:pt>
                <c:pt idx="27">
                  <c:v>107.08110452210649</c:v>
                </c:pt>
                <c:pt idx="28">
                  <c:v>93.995948487150756</c:v>
                </c:pt>
                <c:pt idx="29">
                  <c:v>83.077644304365123</c:v>
                </c:pt>
                <c:pt idx="30">
                  <c:v>74.029862778301649</c:v>
                </c:pt>
                <c:pt idx="31">
                  <c:v>66.022431781126784</c:v>
                </c:pt>
                <c:pt idx="32">
                  <c:v>58.64731855336229</c:v>
                </c:pt>
                <c:pt idx="33">
                  <c:v>51.704234352100016</c:v>
                </c:pt>
                <c:pt idx="34">
                  <c:v>45.088859504876119</c:v>
                </c:pt>
                <c:pt idx="35">
                  <c:v>38.743808697562329</c:v>
                </c:pt>
                <c:pt idx="36">
                  <c:v>32.636028789536262</c:v>
                </c:pt>
                <c:pt idx="37">
                  <c:v>-17.791920794081367</c:v>
                </c:pt>
                <c:pt idx="38">
                  <c:v>-52.479727174523234</c:v>
                </c:pt>
                <c:pt idx="39">
                  <c:v>-76.236068810872666</c:v>
                </c:pt>
                <c:pt idx="40">
                  <c:v>-92.919326860562819</c:v>
                </c:pt>
                <c:pt idx="41">
                  <c:v>-105.03068263972089</c:v>
                </c:pt>
                <c:pt idx="42">
                  <c:v>-114.10487289481287</c:v>
                </c:pt>
                <c:pt idx="43">
                  <c:v>-121.09167020131312</c:v>
                </c:pt>
                <c:pt idx="44">
                  <c:v>-126.59576463751171</c:v>
                </c:pt>
                <c:pt idx="45">
                  <c:v>-131.01497687053765</c:v>
                </c:pt>
                <c:pt idx="46">
                  <c:v>-149.74462681860288</c:v>
                </c:pt>
                <c:pt idx="47">
                  <c:v>-153.87891591295534</c:v>
                </c:pt>
                <c:pt idx="48">
                  <c:v>-154.29393295093143</c:v>
                </c:pt>
                <c:pt idx="49">
                  <c:v>-153.27577403292537</c:v>
                </c:pt>
                <c:pt idx="50">
                  <c:v>-151.60536723470247</c:v>
                </c:pt>
                <c:pt idx="51">
                  <c:v>-149.62471059075938</c:v>
                </c:pt>
                <c:pt idx="52">
                  <c:v>-147.50771435144571</c:v>
                </c:pt>
                <c:pt idx="53">
                  <c:v>-145.35141075411548</c:v>
                </c:pt>
                <c:pt idx="54">
                  <c:v>-143.21292231028627</c:v>
                </c:pt>
                <c:pt idx="55">
                  <c:v>-126.18888223622625</c:v>
                </c:pt>
              </c:numCache>
            </c:numRef>
          </c:yVal>
          <c:smooth val="1"/>
        </c:ser>
        <c:dLbls>
          <c:showLegendKey val="0"/>
          <c:showVal val="0"/>
          <c:showCatName val="0"/>
          <c:showSerName val="0"/>
          <c:showPercent val="0"/>
          <c:showBubbleSize val="0"/>
        </c:dLbls>
        <c:axId val="212337408"/>
        <c:axId val="211348096"/>
      </c:scatterChart>
      <c:valAx>
        <c:axId val="211339904"/>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211346176"/>
        <c:crosses val="autoZero"/>
        <c:crossBetween val="midCat"/>
      </c:valAx>
      <c:valAx>
        <c:axId val="21134617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211339904"/>
        <c:crosses val="autoZero"/>
        <c:crossBetween val="midCat"/>
        <c:majorUnit val="20"/>
      </c:valAx>
      <c:valAx>
        <c:axId val="21134809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0.000E+0" sourceLinked="1"/>
        <c:majorTickMark val="out"/>
        <c:minorTickMark val="none"/>
        <c:tickLblPos val="nextTo"/>
        <c:crossAx val="212337408"/>
        <c:crosses val="max"/>
        <c:crossBetween val="midCat"/>
      </c:valAx>
      <c:valAx>
        <c:axId val="212337408"/>
        <c:scaling>
          <c:logBase val="10"/>
          <c:orientation val="minMax"/>
        </c:scaling>
        <c:delete val="1"/>
        <c:axPos val="b"/>
        <c:majorGridlines/>
        <c:minorGridlines/>
        <c:numFmt formatCode="##0.000E+0" sourceLinked="1"/>
        <c:majorTickMark val="out"/>
        <c:minorTickMark val="none"/>
        <c:tickLblPos val="nextTo"/>
        <c:crossAx val="21134809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27.692986670106514</c:v>
                </c:pt>
                <c:pt idx="1">
                  <c:v>27.692981526554487</c:v>
                </c:pt>
                <c:pt idx="2">
                  <c:v>27.692972953981322</c:v>
                </c:pt>
                <c:pt idx="3">
                  <c:v>27.692960952407304</c:v>
                </c:pt>
                <c:pt idx="4">
                  <c:v>27.692945521860878</c:v>
                </c:pt>
                <c:pt idx="5">
                  <c:v>27.692926662378596</c:v>
                </c:pt>
                <c:pt idx="6">
                  <c:v>27.692904374005117</c:v>
                </c:pt>
                <c:pt idx="7">
                  <c:v>27.692878656793241</c:v>
                </c:pt>
                <c:pt idx="8">
                  <c:v>27.692849510803882</c:v>
                </c:pt>
                <c:pt idx="9">
                  <c:v>27.69281693610607</c:v>
                </c:pt>
                <c:pt idx="10">
                  <c:v>27.692302631155371</c:v>
                </c:pt>
                <c:pt idx="11">
                  <c:v>27.691445591561219</c:v>
                </c:pt>
                <c:pt idx="12">
                  <c:v>27.690246020196977</c:v>
                </c:pt>
                <c:pt idx="13">
                  <c:v>27.688704200861324</c:v>
                </c:pt>
                <c:pt idx="14">
                  <c:v>27.686820498054544</c:v>
                </c:pt>
                <c:pt idx="15">
                  <c:v>27.684595356691752</c:v>
                </c:pt>
                <c:pt idx="16">
                  <c:v>27.682029301753104</c:v>
                </c:pt>
                <c:pt idx="17">
                  <c:v>27.679122937872009</c:v>
                </c:pt>
                <c:pt idx="18">
                  <c:v>27.675876948861657</c:v>
                </c:pt>
                <c:pt idx="19">
                  <c:v>27.62494348347488</c:v>
                </c:pt>
                <c:pt idx="20">
                  <c:v>27.541359734656332</c:v>
                </c:pt>
                <c:pt idx="21">
                  <c:v>27.426980860024884</c:v>
                </c:pt>
                <c:pt idx="22">
                  <c:v>27.284214491267239</c:v>
                </c:pt>
                <c:pt idx="23">
                  <c:v>27.115864728303833</c:v>
                </c:pt>
                <c:pt idx="24">
                  <c:v>26.924970394839271</c:v>
                </c:pt>
                <c:pt idx="25">
                  <c:v>26.714654183993076</c:v>
                </c:pt>
                <c:pt idx="26">
                  <c:v>26.487994364549937</c:v>
                </c:pt>
                <c:pt idx="27">
                  <c:v>26.247925126518076</c:v>
                </c:pt>
                <c:pt idx="28">
                  <c:v>23.578272196678117</c:v>
                </c:pt>
                <c:pt idx="29">
                  <c:v>21.110018676679854</c:v>
                </c:pt>
                <c:pt idx="30">
                  <c:v>19.050036554092703</c:v>
                </c:pt>
                <c:pt idx="31">
                  <c:v>17.331022451431195</c:v>
                </c:pt>
                <c:pt idx="32">
                  <c:v>15.871306342291948</c:v>
                </c:pt>
                <c:pt idx="33">
                  <c:v>14.608870300708112</c:v>
                </c:pt>
                <c:pt idx="34">
                  <c:v>13.499456918333975</c:v>
                </c:pt>
                <c:pt idx="35">
                  <c:v>12.511364160702618</c:v>
                </c:pt>
                <c:pt idx="36">
                  <c:v>11.621438875032748</c:v>
                </c:pt>
                <c:pt idx="37">
                  <c:v>5.6841181736363202</c:v>
                </c:pt>
                <c:pt idx="38">
                  <c:v>2.1809278832598693</c:v>
                </c:pt>
                <c:pt idx="39">
                  <c:v>-0.30771975045114258</c:v>
                </c:pt>
                <c:pt idx="40">
                  <c:v>-2.2372956602833698</c:v>
                </c:pt>
                <c:pt idx="41">
                  <c:v>-3.8120694355468827</c:v>
                </c:pt>
                <c:pt idx="42">
                  <c:v>-5.1413389039982524</c:v>
                </c:pt>
                <c:pt idx="43">
                  <c:v>-6.2904557085443633</c:v>
                </c:pt>
                <c:pt idx="44">
                  <c:v>-7.3016187180622882</c:v>
                </c:pt>
                <c:pt idx="45">
                  <c:v>-8.2036637485331951</c:v>
                </c:pt>
                <c:pt idx="46">
                  <c:v>-14.025475285405893</c:v>
                </c:pt>
                <c:pt idx="47">
                  <c:v>-17.236030181169454</c:v>
                </c:pt>
                <c:pt idx="48">
                  <c:v>-19.333538973784268</c:v>
                </c:pt>
                <c:pt idx="49">
                  <c:v>-20.804982956060208</c:v>
                </c:pt>
                <c:pt idx="50">
                  <c:v>-21.878849183884427</c:v>
                </c:pt>
                <c:pt idx="51">
                  <c:v>-22.683602077604213</c:v>
                </c:pt>
                <c:pt idx="52">
                  <c:v>-23.299066549122731</c:v>
                </c:pt>
                <c:pt idx="53">
                  <c:v>-23.777837549527497</c:v>
                </c:pt>
                <c:pt idx="54">
                  <c:v>-24.155876363056173</c:v>
                </c:pt>
                <c:pt idx="55">
                  <c:v>-25.648150087214407</c:v>
                </c:pt>
              </c:numCache>
            </c:numRef>
          </c:yVal>
          <c:smooth val="1"/>
        </c:ser>
        <c:dLbls>
          <c:showLegendKey val="0"/>
          <c:showVal val="0"/>
          <c:showCatName val="0"/>
          <c:showSerName val="0"/>
          <c:showPercent val="0"/>
          <c:showBubbleSize val="0"/>
        </c:dLbls>
        <c:axId val="212532608"/>
        <c:axId val="212207104"/>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-3.5927995262591078E-2</c:v>
                </c:pt>
                <c:pt idx="1">
                  <c:v>-7.1855962100755386E-2</c:v>
                </c:pt>
                <c:pt idx="2">
                  <c:v>-0.10778387209020091</c:v>
                </c:pt>
                <c:pt idx="3">
                  <c:v>-0.14371169680690407</c:v>
                </c:pt>
                <c:pt idx="4">
                  <c:v>-0.1796394078272473</c:v>
                </c:pt>
                <c:pt idx="5">
                  <c:v>-0.21556697672814926</c:v>
                </c:pt>
                <c:pt idx="6">
                  <c:v>-0.25149437508720429</c:v>
                </c:pt>
                <c:pt idx="7">
                  <c:v>-0.28742157448281191</c:v>
                </c:pt>
                <c:pt idx="8">
                  <c:v>-0.32334854649431632</c:v>
                </c:pt>
                <c:pt idx="9">
                  <c:v>-0.35927526270213739</c:v>
                </c:pt>
                <c:pt idx="10">
                  <c:v>-0.71852210430988783</c:v>
                </c:pt>
                <c:pt idx="11">
                  <c:v>-1.0777121171893822</c:v>
                </c:pt>
                <c:pt idx="12">
                  <c:v>-1.4368169206118389</c:v>
                </c:pt>
                <c:pt idx="13">
                  <c:v>-1.7958081741663725</c:v>
                </c:pt>
                <c:pt idx="14">
                  <c:v>-2.1546575911250079</c:v>
                </c:pt>
                <c:pt idx="15">
                  <c:v>-2.5133369517444364</c:v>
                </c:pt>
                <c:pt idx="16">
                  <c:v>-2.8718181164887571</c:v>
                </c:pt>
                <c:pt idx="17">
                  <c:v>-3.2300730391578325</c:v>
                </c:pt>
                <c:pt idx="18">
                  <c:v>-3.5880737799060776</c:v>
                </c:pt>
                <c:pt idx="19">
                  <c:v>-7.1480558070290474</c:v>
                </c:pt>
                <c:pt idx="20">
                  <c:v>-10.65314941339204</c:v>
                </c:pt>
                <c:pt idx="21">
                  <c:v>-14.079002374015634</c:v>
                </c:pt>
                <c:pt idx="22">
                  <c:v>-17.404594495249242</c:v>
                </c:pt>
                <c:pt idx="23">
                  <c:v>-20.612797390525898</c:v>
                </c:pt>
                <c:pt idx="24">
                  <c:v>-23.69059614155573</c:v>
                </c:pt>
                <c:pt idx="25">
                  <c:v>-26.62901012161975</c:v>
                </c:pt>
                <c:pt idx="26">
                  <c:v>-29.422780985141472</c:v>
                </c:pt>
                <c:pt idx="27">
                  <c:v>-32.06990767324131</c:v>
                </c:pt>
                <c:pt idx="28">
                  <c:v>-51.344113049226607</c:v>
                </c:pt>
                <c:pt idx="29">
                  <c:v>-61.837313777793028</c:v>
                </c:pt>
                <c:pt idx="30">
                  <c:v>-68.015018453977163</c:v>
                </c:pt>
                <c:pt idx="31">
                  <c:v>-71.983217585885015</c:v>
                </c:pt>
                <c:pt idx="32">
                  <c:v>-74.711956905053668</c:v>
                </c:pt>
                <c:pt idx="33">
                  <c:v>-76.686763206803832</c:v>
                </c:pt>
                <c:pt idx="34">
                  <c:v>-78.172293678308534</c:v>
                </c:pt>
                <c:pt idx="35">
                  <c:v>-79.323587866635179</c:v>
                </c:pt>
                <c:pt idx="36">
                  <c:v>-80.236976816652714</c:v>
                </c:pt>
                <c:pt idx="37">
                  <c:v>-84.010437770269505</c:v>
                </c:pt>
                <c:pt idx="38">
                  <c:v>-84.804233755447868</c:v>
                </c:pt>
                <c:pt idx="39">
                  <c:v>-84.843897154908646</c:v>
                </c:pt>
                <c:pt idx="40">
                  <c:v>-84.581560499317689</c:v>
                </c:pt>
                <c:pt idx="41">
                  <c:v>-84.168696987480203</c:v>
                </c:pt>
                <c:pt idx="42">
                  <c:v>-83.670462905538884</c:v>
                </c:pt>
                <c:pt idx="43">
                  <c:v>-83.119574637300943</c:v>
                </c:pt>
                <c:pt idx="44">
                  <c:v>-82.534312216453941</c:v>
                </c:pt>
                <c:pt idx="45">
                  <c:v>-81.925730523660349</c:v>
                </c:pt>
                <c:pt idx="46">
                  <c:v>-75.436261926012094</c:v>
                </c:pt>
                <c:pt idx="47">
                  <c:v>-69.040041918346972</c:v>
                </c:pt>
                <c:pt idx="48">
                  <c:v>-63.085418437622742</c:v>
                </c:pt>
                <c:pt idx="49">
                  <c:v>-57.675714850056963</c:v>
                </c:pt>
                <c:pt idx="50">
                  <c:v>-52.832374007810564</c:v>
                </c:pt>
                <c:pt idx="51">
                  <c:v>-48.533387500074021</c:v>
                </c:pt>
                <c:pt idx="52">
                  <c:v>-44.734306686617479</c:v>
                </c:pt>
                <c:pt idx="53">
                  <c:v>-41.381604132725208</c:v>
                </c:pt>
                <c:pt idx="54">
                  <c:v>-38.420698265683242</c:v>
                </c:pt>
                <c:pt idx="55">
                  <c:v>-21.651389448525364</c:v>
                </c:pt>
              </c:numCache>
            </c:numRef>
          </c:yVal>
          <c:smooth val="1"/>
        </c:ser>
        <c:dLbls>
          <c:showLegendKey val="0"/>
          <c:showVal val="0"/>
          <c:showCatName val="0"/>
          <c:showSerName val="0"/>
          <c:showPercent val="0"/>
          <c:showBubbleSize val="0"/>
        </c:dLbls>
        <c:axId val="212211200"/>
        <c:axId val="212209024"/>
      </c:scatterChart>
      <c:valAx>
        <c:axId val="212532608"/>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212207104"/>
        <c:crosses val="autoZero"/>
        <c:crossBetween val="midCat"/>
      </c:valAx>
      <c:valAx>
        <c:axId val="21220710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12532608"/>
        <c:crosses val="autoZero"/>
        <c:crossBetween val="midCat"/>
        <c:majorUnit val="20"/>
      </c:valAx>
      <c:valAx>
        <c:axId val="21220902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2211200"/>
        <c:crosses val="max"/>
        <c:crossBetween val="midCat"/>
      </c:valAx>
      <c:valAx>
        <c:axId val="212211200"/>
        <c:scaling>
          <c:logBase val="10"/>
          <c:orientation val="minMax"/>
        </c:scaling>
        <c:delete val="1"/>
        <c:axPos val="b"/>
        <c:majorGridlines/>
        <c:minorGridlines/>
        <c:numFmt formatCode="##0.000E+0" sourceLinked="1"/>
        <c:majorTickMark val="out"/>
        <c:minorTickMark val="none"/>
        <c:tickLblPos val="nextTo"/>
        <c:crossAx val="21220902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30.126778976952416</c:v>
                </c:pt>
                <c:pt idx="1">
                  <c:v>24.106208685293993</c:v>
                </c:pt>
                <c:pt idx="2">
                  <c:v>20.584432873099971</c:v>
                </c:pt>
                <c:pt idx="3">
                  <c:v>18.085727256478265</c:v>
                </c:pt>
                <c:pt idx="4">
                  <c:v>16.14761585754297</c:v>
                </c:pt>
                <c:pt idx="5">
                  <c:v>14.564099542285401</c:v>
                </c:pt>
                <c:pt idx="6">
                  <c:v>13.225292098355492</c:v>
                </c:pt>
                <c:pt idx="7">
                  <c:v>12.065601248720307</c:v>
                </c:pt>
                <c:pt idx="8">
                  <c:v>11.042718628907238</c:v>
                </c:pt>
                <c:pt idx="9">
                  <c:v>10.127756383754969</c:v>
                </c:pt>
                <c:pt idx="10">
                  <c:v>4.1101169662488681</c:v>
                </c:pt>
                <c:pt idx="11">
                  <c:v>0.59322146290412925</c:v>
                </c:pt>
                <c:pt idx="12">
                  <c:v>-1.8986611109398919</c:v>
                </c:pt>
                <c:pt idx="13">
                  <c:v>-3.8280160717769265</c:v>
                </c:pt>
                <c:pt idx="14">
                  <c:v>-5.4008544880779938</c:v>
                </c:pt>
                <c:pt idx="15">
                  <c:v>-6.7270770492113909</c:v>
                </c:pt>
                <c:pt idx="16">
                  <c:v>-7.8722929876668299</c:v>
                </c:pt>
                <c:pt idx="17">
                  <c:v>-8.8788300274675986</c:v>
                </c:pt>
                <c:pt idx="18">
                  <c:v>-9.7755977035209689</c:v>
                </c:pt>
                <c:pt idx="19">
                  <c:v>-15.515818975219577</c:v>
                </c:pt>
                <c:pt idx="20">
                  <c:v>-18.60718161959376</c:v>
                </c:pt>
                <c:pt idx="21">
                  <c:v>-20.567096740981128</c:v>
                </c:pt>
                <c:pt idx="22">
                  <c:v>-21.898250411314546</c:v>
                </c:pt>
                <c:pt idx="23">
                  <c:v>-22.839451693720992</c:v>
                </c:pt>
                <c:pt idx="24">
                  <c:v>-23.524503341518216</c:v>
                </c:pt>
                <c:pt idx="25">
                  <c:v>-24.035040693139663</c:v>
                </c:pt>
                <c:pt idx="26">
                  <c:v>-24.423394012513096</c:v>
                </c:pt>
                <c:pt idx="27">
                  <c:v>-24.724240284993545</c:v>
                </c:pt>
                <c:pt idx="28">
                  <c:v>-25.859363079688322</c:v>
                </c:pt>
                <c:pt idx="29">
                  <c:v>-26.113848445276012</c:v>
                </c:pt>
                <c:pt idx="30">
                  <c:v>-26.215392522366898</c:v>
                </c:pt>
                <c:pt idx="31">
                  <c:v>-26.272943445091464</c:v>
                </c:pt>
                <c:pt idx="32">
                  <c:v>-26.31484444527085</c:v>
                </c:pt>
                <c:pt idx="33">
                  <c:v>-26.351003796107801</c:v>
                </c:pt>
                <c:pt idx="34">
                  <c:v>-26.385578802061197</c:v>
                </c:pt>
                <c:pt idx="35">
                  <c:v>-26.420536733856107</c:v>
                </c:pt>
                <c:pt idx="36">
                  <c:v>-26.456884918858631</c:v>
                </c:pt>
                <c:pt idx="37">
                  <c:v>-26.945932258911913</c:v>
                </c:pt>
                <c:pt idx="38">
                  <c:v>-27.640049645267268</c:v>
                </c:pt>
                <c:pt idx="39">
                  <c:v>-28.454678290905633</c:v>
                </c:pt>
                <c:pt idx="40">
                  <c:v>-29.317538642212313</c:v>
                </c:pt>
                <c:pt idx="41">
                  <c:v>-30.181837923635598</c:v>
                </c:pt>
                <c:pt idx="42">
                  <c:v>-31.02137084543098</c:v>
                </c:pt>
                <c:pt idx="43">
                  <c:v>-31.823340288049224</c:v>
                </c:pt>
                <c:pt idx="44">
                  <c:v>-32.582795070298161</c:v>
                </c:pt>
                <c:pt idx="45">
                  <c:v>-33.29906720206813</c:v>
                </c:pt>
                <c:pt idx="46">
                  <c:v>-38.614731451900639</c:v>
                </c:pt>
                <c:pt idx="47">
                  <c:v>-41.992450817083871</c:v>
                </c:pt>
                <c:pt idx="48">
                  <c:v>-44.439636772078053</c:v>
                </c:pt>
                <c:pt idx="49">
                  <c:v>-46.353749663219816</c:v>
                </c:pt>
                <c:pt idx="50">
                  <c:v>-47.924233854452474</c:v>
                </c:pt>
                <c:pt idx="51">
                  <c:v>-49.25522693662991</c:v>
                </c:pt>
                <c:pt idx="52">
                  <c:v>-50.409902964315947</c:v>
                </c:pt>
                <c:pt idx="53">
                  <c:v>-51.429410186811843</c:v>
                </c:pt>
                <c:pt idx="54">
                  <c:v>-52.342023773786089</c:v>
                </c:pt>
                <c:pt idx="55">
                  <c:v>-58.354504487199023</c:v>
                </c:pt>
              </c:numCache>
            </c:numRef>
          </c:yVal>
          <c:smooth val="1"/>
        </c:ser>
        <c:dLbls>
          <c:showLegendKey val="0"/>
          <c:showVal val="0"/>
          <c:showCatName val="0"/>
          <c:showSerName val="0"/>
          <c:showPercent val="0"/>
          <c:showBubbleSize val="0"/>
        </c:dLbls>
        <c:axId val="212474880"/>
        <c:axId val="212477056"/>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90.085253334510284</c:v>
                </c:pt>
                <c:pt idx="1">
                  <c:v>90.17050627608441</c:v>
                </c:pt>
                <c:pt idx="2">
                  <c:v>90.255758431796991</c:v>
                </c:pt>
                <c:pt idx="3">
                  <c:v>90.341009408744014</c:v>
                </c:pt>
                <c:pt idx="4">
                  <c:v>90.426258814053668</c:v>
                </c:pt>
                <c:pt idx="5">
                  <c:v>90.511506254897029</c:v>
                </c:pt>
                <c:pt idx="6">
                  <c:v>90.596751338498734</c:v>
                </c:pt>
                <c:pt idx="7">
                  <c:v>90.681993672147797</c:v>
                </c:pt>
                <c:pt idx="8">
                  <c:v>90.767232863208136</c:v>
                </c:pt>
                <c:pt idx="9">
                  <c:v>90.852468519129502</c:v>
                </c:pt>
                <c:pt idx="10">
                  <c:v>91.704544367308671</c:v>
                </c:pt>
                <c:pt idx="11">
                  <c:v>92.555835943387123</c:v>
                </c:pt>
                <c:pt idx="12">
                  <c:v>93.405953778538375</c:v>
                </c:pt>
                <c:pt idx="13">
                  <c:v>94.254511584324021</c:v>
                </c:pt>
                <c:pt idx="14">
                  <c:v>95.101127279296946</c:v>
                </c:pt>
                <c:pt idx="15">
                  <c:v>95.945423987411345</c:v>
                </c:pt>
                <c:pt idx="16">
                  <c:v>96.787031001858168</c:v>
                </c:pt>
                <c:pt idx="17">
                  <c:v>97.625584708368351</c:v>
                </c:pt>
                <c:pt idx="18">
                  <c:v>98.460729462518259</c:v>
                </c:pt>
                <c:pt idx="19">
                  <c:v>106.55361911592054</c:v>
                </c:pt>
                <c:pt idx="20">
                  <c:v>113.99751310265469</c:v>
                </c:pt>
                <c:pt idx="21">
                  <c:v>120.63915263025834</c:v>
                </c:pt>
                <c:pt idx="22">
                  <c:v>126.44236370486698</c:v>
                </c:pt>
                <c:pt idx="23">
                  <c:v>131.4501964743877</c:v>
                </c:pt>
                <c:pt idx="24">
                  <c:v>135.74612070858473</c:v>
                </c:pt>
                <c:pt idx="25">
                  <c:v>139.4263761911084</c:v>
                </c:pt>
                <c:pt idx="26">
                  <c:v>142.58432718880744</c:v>
                </c:pt>
                <c:pt idx="27">
                  <c:v>145.30338043508203</c:v>
                </c:pt>
                <c:pt idx="28">
                  <c:v>159.36390651499292</c:v>
                </c:pt>
                <c:pt idx="29">
                  <c:v>164.09961487765287</c:v>
                </c:pt>
                <c:pt idx="30">
                  <c:v>166.01011580103113</c:v>
                </c:pt>
                <c:pt idx="31">
                  <c:v>166.73102271629858</c:v>
                </c:pt>
                <c:pt idx="32">
                  <c:v>166.84620254698339</c:v>
                </c:pt>
                <c:pt idx="33">
                  <c:v>166.61392150442731</c:v>
                </c:pt>
                <c:pt idx="34">
                  <c:v>166.16578766280449</c:v>
                </c:pt>
                <c:pt idx="35">
                  <c:v>165.57595936238394</c:v>
                </c:pt>
                <c:pt idx="36">
                  <c:v>164.88949742962708</c:v>
                </c:pt>
                <c:pt idx="37">
                  <c:v>156.28771487223602</c:v>
                </c:pt>
                <c:pt idx="38">
                  <c:v>147.75484000852722</c:v>
                </c:pt>
                <c:pt idx="39">
                  <c:v>140.37370363058</c:v>
                </c:pt>
                <c:pt idx="40">
                  <c:v>134.22303054035228</c:v>
                </c:pt>
                <c:pt idx="41">
                  <c:v>129.15551566093799</c:v>
                </c:pt>
                <c:pt idx="42">
                  <c:v>124.97872300742894</c:v>
                </c:pt>
                <c:pt idx="43">
                  <c:v>121.51507764651127</c:v>
                </c:pt>
                <c:pt idx="44">
                  <c:v>118.61791920286579</c:v>
                </c:pt>
                <c:pt idx="45">
                  <c:v>116.17142065062431</c:v>
                </c:pt>
                <c:pt idx="46">
                  <c:v>103.83821958921475</c:v>
                </c:pt>
                <c:pt idx="47">
                  <c:v>99.330124889530722</c:v>
                </c:pt>
                <c:pt idx="48">
                  <c:v>97.025818549390308</c:v>
                </c:pt>
                <c:pt idx="49">
                  <c:v>95.631216129704711</c:v>
                </c:pt>
                <c:pt idx="50">
                  <c:v>94.697485615244602</c:v>
                </c:pt>
                <c:pt idx="51">
                  <c:v>94.028907122169215</c:v>
                </c:pt>
                <c:pt idx="52">
                  <c:v>93.526710889447841</c:v>
                </c:pt>
                <c:pt idx="53">
                  <c:v>93.135718806973642</c:v>
                </c:pt>
                <c:pt idx="54">
                  <c:v>92.822704046594467</c:v>
                </c:pt>
                <c:pt idx="55">
                  <c:v>91.412243995136976</c:v>
                </c:pt>
              </c:numCache>
            </c:numRef>
          </c:yVal>
          <c:smooth val="1"/>
        </c:ser>
        <c:dLbls>
          <c:showLegendKey val="0"/>
          <c:showVal val="0"/>
          <c:showCatName val="0"/>
          <c:showSerName val="0"/>
          <c:showPercent val="0"/>
          <c:showBubbleSize val="0"/>
        </c:dLbls>
        <c:axId val="212481152"/>
        <c:axId val="212478976"/>
      </c:scatterChart>
      <c:valAx>
        <c:axId val="212474880"/>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212477056"/>
        <c:crosses val="autoZero"/>
        <c:crossBetween val="midCat"/>
      </c:valAx>
      <c:valAx>
        <c:axId val="212477056"/>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12474880"/>
        <c:crosses val="autoZero"/>
        <c:crossBetween val="midCat"/>
        <c:majorUnit val="20"/>
      </c:valAx>
      <c:valAx>
        <c:axId val="21247897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2481152"/>
        <c:crosses val="max"/>
        <c:crossBetween val="midCat"/>
      </c:valAx>
      <c:valAx>
        <c:axId val="212481152"/>
        <c:scaling>
          <c:logBase val="10"/>
          <c:orientation val="minMax"/>
        </c:scaling>
        <c:delete val="1"/>
        <c:axPos val="b"/>
        <c:majorGridlines/>
        <c:minorGridlines/>
        <c:numFmt formatCode="##0.000E+0" sourceLinked="1"/>
        <c:majorTickMark val="out"/>
        <c:minorTickMark val="none"/>
        <c:tickLblPos val="nextTo"/>
        <c:crossAx val="212478976"/>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57.819765647058929</c:v>
                </c:pt>
                <c:pt idx="1">
                  <c:v>51.799190211848483</c:v>
                </c:pt>
                <c:pt idx="2">
                  <c:v>48.277405827081296</c:v>
                </c:pt>
                <c:pt idx="3">
                  <c:v>45.778688208885569</c:v>
                </c:pt>
                <c:pt idx="4">
                  <c:v>43.840561379403852</c:v>
                </c:pt>
                <c:pt idx="5">
                  <c:v>42.257026204664001</c:v>
                </c:pt>
                <c:pt idx="6">
                  <c:v>40.918196472360606</c:v>
                </c:pt>
                <c:pt idx="7">
                  <c:v>39.758479905513546</c:v>
                </c:pt>
                <c:pt idx="8">
                  <c:v>38.73556813971112</c:v>
                </c:pt>
                <c:pt idx="9">
                  <c:v>37.82057331986104</c:v>
                </c:pt>
                <c:pt idx="10">
                  <c:v>31.802419597404239</c:v>
                </c:pt>
                <c:pt idx="11">
                  <c:v>28.284667054465348</c:v>
                </c:pt>
                <c:pt idx="12">
                  <c:v>25.791584909257086</c:v>
                </c:pt>
                <c:pt idx="13">
                  <c:v>23.860688129084398</c:v>
                </c:pt>
                <c:pt idx="14">
                  <c:v>22.285966009976551</c:v>
                </c:pt>
                <c:pt idx="15">
                  <c:v>20.95751830748036</c:v>
                </c:pt>
                <c:pt idx="16">
                  <c:v>19.809736314086273</c:v>
                </c:pt>
                <c:pt idx="17">
                  <c:v>18.800292910404409</c:v>
                </c:pt>
                <c:pt idx="18">
                  <c:v>17.900279245340688</c:v>
                </c:pt>
                <c:pt idx="19">
                  <c:v>12.109124508255302</c:v>
                </c:pt>
                <c:pt idx="20">
                  <c:v>8.9341781150625721</c:v>
                </c:pt>
                <c:pt idx="21">
                  <c:v>6.8598841190437554</c:v>
                </c:pt>
                <c:pt idx="22">
                  <c:v>5.3859640799526929</c:v>
                </c:pt>
                <c:pt idx="23">
                  <c:v>4.2764130345828413</c:v>
                </c:pt>
                <c:pt idx="24">
                  <c:v>3.400467053321055</c:v>
                </c:pt>
                <c:pt idx="25">
                  <c:v>2.6796134908534128</c:v>
                </c:pt>
                <c:pt idx="26">
                  <c:v>2.064600352036841</c:v>
                </c:pt>
                <c:pt idx="27">
                  <c:v>1.5236848415245312</c:v>
                </c:pt>
                <c:pt idx="28">
                  <c:v>-2.2810908830102044</c:v>
                </c:pt>
                <c:pt idx="29">
                  <c:v>-5.0038297685961588</c:v>
                </c:pt>
                <c:pt idx="30">
                  <c:v>-7.165355968274195</c:v>
                </c:pt>
                <c:pt idx="31">
                  <c:v>-8.9419209936602684</c:v>
                </c:pt>
                <c:pt idx="32">
                  <c:v>-10.443538102978902</c:v>
                </c:pt>
                <c:pt idx="33">
                  <c:v>-11.742133495399688</c:v>
                </c:pt>
                <c:pt idx="34">
                  <c:v>-12.886121883727222</c:v>
                </c:pt>
                <c:pt idx="35">
                  <c:v>-13.909172573153489</c:v>
                </c:pt>
                <c:pt idx="36">
                  <c:v>-14.835446043825883</c:v>
                </c:pt>
                <c:pt idx="37">
                  <c:v>-21.261814085275592</c:v>
                </c:pt>
                <c:pt idx="38">
                  <c:v>-25.459121762007399</c:v>
                </c:pt>
                <c:pt idx="39">
                  <c:v>-28.762398041356775</c:v>
                </c:pt>
                <c:pt idx="40">
                  <c:v>-31.554834302495681</c:v>
                </c:pt>
                <c:pt idx="41">
                  <c:v>-33.993907359182479</c:v>
                </c:pt>
                <c:pt idx="42">
                  <c:v>-36.162709749429233</c:v>
                </c:pt>
                <c:pt idx="43">
                  <c:v>-38.113795996593588</c:v>
                </c:pt>
                <c:pt idx="44">
                  <c:v>-39.884413788360447</c:v>
                </c:pt>
                <c:pt idx="45">
                  <c:v>-41.502730950601325</c:v>
                </c:pt>
                <c:pt idx="46">
                  <c:v>-52.640206737306528</c:v>
                </c:pt>
                <c:pt idx="47">
                  <c:v>-59.228480998253325</c:v>
                </c:pt>
                <c:pt idx="48">
                  <c:v>-63.773175745862318</c:v>
                </c:pt>
                <c:pt idx="49">
                  <c:v>-67.158732619280016</c:v>
                </c:pt>
                <c:pt idx="50">
                  <c:v>-69.803083038336894</c:v>
                </c:pt>
                <c:pt idx="51">
                  <c:v>-71.93882901423413</c:v>
                </c:pt>
                <c:pt idx="52">
                  <c:v>-73.708969513438674</c:v>
                </c:pt>
                <c:pt idx="53">
                  <c:v>-75.20724773633934</c:v>
                </c:pt>
                <c:pt idx="54">
                  <c:v>-76.497900136842262</c:v>
                </c:pt>
                <c:pt idx="55">
                  <c:v>-84.002654574413427</c:v>
                </c:pt>
              </c:numCache>
            </c:numRef>
          </c:yVal>
          <c:smooth val="1"/>
        </c:ser>
        <c:dLbls>
          <c:showLegendKey val="0"/>
          <c:showVal val="0"/>
          <c:showCatName val="0"/>
          <c:showSerName val="0"/>
          <c:showPercent val="0"/>
          <c:showBubbleSize val="0"/>
        </c:dLbls>
        <c:axId val="212295040"/>
        <c:axId val="212305408"/>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90.049325339247687</c:v>
                </c:pt>
                <c:pt idx="1">
                  <c:v>90.098650313983654</c:v>
                </c:pt>
                <c:pt idx="2">
                  <c:v>90.147974559706796</c:v>
                </c:pt>
                <c:pt idx="3">
                  <c:v>90.197297711937111</c:v>
                </c:pt>
                <c:pt idx="4">
                  <c:v>90.246619406226415</c:v>
                </c:pt>
                <c:pt idx="5">
                  <c:v>90.295939278168873</c:v>
                </c:pt>
                <c:pt idx="6">
                  <c:v>90.345256963411529</c:v>
                </c:pt>
                <c:pt idx="7">
                  <c:v>90.394572097664991</c:v>
                </c:pt>
                <c:pt idx="8">
                  <c:v>90.44388431671382</c:v>
                </c:pt>
                <c:pt idx="9">
                  <c:v>90.493193256427361</c:v>
                </c:pt>
                <c:pt idx="10">
                  <c:v>90.986022262998787</c:v>
                </c:pt>
                <c:pt idx="11">
                  <c:v>91.478123826197745</c:v>
                </c:pt>
                <c:pt idx="12">
                  <c:v>91.969136857926543</c:v>
                </c:pt>
                <c:pt idx="13">
                  <c:v>92.458703410157653</c:v>
                </c:pt>
                <c:pt idx="14">
                  <c:v>92.946469688171945</c:v>
                </c:pt>
                <c:pt idx="15">
                  <c:v>93.43208703566691</c:v>
                </c:pt>
                <c:pt idx="16">
                  <c:v>93.915212885369414</c:v>
                </c:pt>
                <c:pt idx="17">
                  <c:v>94.395511669210521</c:v>
                </c:pt>
                <c:pt idx="18">
                  <c:v>94.872655682612177</c:v>
                </c:pt>
                <c:pt idx="19">
                  <c:v>99.405563308891487</c:v>
                </c:pt>
                <c:pt idx="20">
                  <c:v>103.34436368926265</c:v>
                </c:pt>
                <c:pt idx="21">
                  <c:v>106.56015025624271</c:v>
                </c:pt>
                <c:pt idx="22">
                  <c:v>109.03776920961774</c:v>
                </c:pt>
                <c:pt idx="23">
                  <c:v>110.8373990838618</c:v>
                </c:pt>
                <c:pt idx="24">
                  <c:v>112.055524567029</c:v>
                </c:pt>
                <c:pt idx="25">
                  <c:v>112.79736606948865</c:v>
                </c:pt>
                <c:pt idx="26">
                  <c:v>113.16154620366596</c:v>
                </c:pt>
                <c:pt idx="27">
                  <c:v>113.23347276184072</c:v>
                </c:pt>
                <c:pt idx="28">
                  <c:v>108.01979346576631</c:v>
                </c:pt>
                <c:pt idx="29">
                  <c:v>102.26230109985984</c:v>
                </c:pt>
                <c:pt idx="30">
                  <c:v>97.995097347053971</c:v>
                </c:pt>
                <c:pt idx="31">
                  <c:v>94.747805130413568</c:v>
                </c:pt>
                <c:pt idx="32">
                  <c:v>92.134245641929724</c:v>
                </c:pt>
                <c:pt idx="33">
                  <c:v>89.927158297623478</c:v>
                </c:pt>
                <c:pt idx="34">
                  <c:v>87.993493984495956</c:v>
                </c:pt>
                <c:pt idx="35">
                  <c:v>86.252371495748761</c:v>
                </c:pt>
                <c:pt idx="36">
                  <c:v>84.652520612974371</c:v>
                </c:pt>
                <c:pt idx="37">
                  <c:v>72.277277101966519</c:v>
                </c:pt>
                <c:pt idx="38">
                  <c:v>62.950606253079357</c:v>
                </c:pt>
                <c:pt idx="39">
                  <c:v>55.52980647567135</c:v>
                </c:pt>
                <c:pt idx="40">
                  <c:v>49.641470041034594</c:v>
                </c:pt>
                <c:pt idx="41">
                  <c:v>44.98681867345779</c:v>
                </c:pt>
                <c:pt idx="42">
                  <c:v>41.308260101890056</c:v>
                </c:pt>
                <c:pt idx="43">
                  <c:v>38.39550300921033</c:v>
                </c:pt>
                <c:pt idx="44">
                  <c:v>36.083606986411851</c:v>
                </c:pt>
                <c:pt idx="45">
                  <c:v>34.245690126963964</c:v>
                </c:pt>
                <c:pt idx="46">
                  <c:v>28.401957663202651</c:v>
                </c:pt>
                <c:pt idx="47">
                  <c:v>30.29008297118375</c:v>
                </c:pt>
                <c:pt idx="48">
                  <c:v>33.940400111767566</c:v>
                </c:pt>
                <c:pt idx="49">
                  <c:v>37.955501279647748</c:v>
                </c:pt>
                <c:pt idx="50">
                  <c:v>41.865111607434038</c:v>
                </c:pt>
                <c:pt idx="51">
                  <c:v>45.495519622095195</c:v>
                </c:pt>
                <c:pt idx="52">
                  <c:v>48.792404202830362</c:v>
                </c:pt>
                <c:pt idx="53">
                  <c:v>51.754114674248434</c:v>
                </c:pt>
                <c:pt idx="54">
                  <c:v>54.402005780911225</c:v>
                </c:pt>
                <c:pt idx="55">
                  <c:v>69.760854546611611</c:v>
                </c:pt>
              </c:numCache>
            </c:numRef>
          </c:yVal>
          <c:smooth val="1"/>
        </c:ser>
        <c:dLbls>
          <c:showLegendKey val="0"/>
          <c:showVal val="0"/>
          <c:showCatName val="0"/>
          <c:showSerName val="0"/>
          <c:showPercent val="0"/>
          <c:showBubbleSize val="0"/>
        </c:dLbls>
        <c:axId val="212321792"/>
        <c:axId val="212307328"/>
      </c:scatterChart>
      <c:valAx>
        <c:axId val="212295040"/>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212305408"/>
        <c:crosses val="autoZero"/>
        <c:crossBetween val="midCat"/>
      </c:valAx>
      <c:valAx>
        <c:axId val="21230540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12295040"/>
        <c:crosses val="autoZero"/>
        <c:crossBetween val="midCat"/>
        <c:majorUnit val="20"/>
      </c:valAx>
      <c:valAx>
        <c:axId val="21230732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2321792"/>
        <c:crosses val="max"/>
        <c:crossBetween val="midCat"/>
        <c:majorUnit val="90"/>
      </c:valAx>
      <c:valAx>
        <c:axId val="212321792"/>
        <c:scaling>
          <c:logBase val="10"/>
          <c:orientation val="minMax"/>
        </c:scaling>
        <c:delete val="1"/>
        <c:axPos val="b"/>
        <c:majorGridlines/>
        <c:minorGridlines/>
        <c:numFmt formatCode="##0.000E+0" sourceLinked="1"/>
        <c:majorTickMark val="out"/>
        <c:minorTickMark val="none"/>
        <c:tickLblPos val="nextTo"/>
        <c:crossAx val="21230732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32.3087514384356</c:v>
                </c:pt>
                <c:pt idx="1">
                  <c:v>26.288181076744742</c:v>
                </c:pt>
                <c:pt idx="2">
                  <c:v>22.766405147832039</c:v>
                </c:pt>
                <c:pt idx="3">
                  <c:v>20.267699367808572</c:v>
                </c:pt>
                <c:pt idx="4">
                  <c:v>18.329587758792762</c:v>
                </c:pt>
                <c:pt idx="5">
                  <c:v>16.746071186781503</c:v>
                </c:pt>
                <c:pt idx="6">
                  <c:v>15.407263439431455</c:v>
                </c:pt>
                <c:pt idx="7">
                  <c:v>14.247572239717922</c:v>
                </c:pt>
                <c:pt idx="8">
                  <c:v>13.224689223177474</c:v>
                </c:pt>
                <c:pt idx="9">
                  <c:v>12.30972653465945</c:v>
                </c:pt>
                <c:pt idx="10">
                  <c:v>6.2920801215869702</c:v>
                </c:pt>
                <c:pt idx="11">
                  <c:v>2.7751729795986253</c:v>
                </c:pt>
                <c:pt idx="12">
                  <c:v>0.28327415483735802</c:v>
                </c:pt>
                <c:pt idx="13">
                  <c:v>-1.6461016263580122</c:v>
                </c:pt>
                <c:pt idx="14">
                  <c:v>-3.2189653778846234</c:v>
                </c:pt>
                <c:pt idx="15">
                  <c:v>-4.5452177231595234</c:v>
                </c:pt>
                <c:pt idx="16">
                  <c:v>-5.6904678177789396</c:v>
                </c:pt>
                <c:pt idx="17">
                  <c:v>-6.6970432984325594</c:v>
                </c:pt>
                <c:pt idx="18">
                  <c:v>-7.593853602815253</c:v>
                </c:pt>
                <c:pt idx="19">
                  <c:v>-13.334704364891817</c:v>
                </c:pt>
                <c:pt idx="20">
                  <c:v>-16.426962110515479</c:v>
                </c:pt>
                <c:pt idx="21">
                  <c:v>-18.387887708973505</c:v>
                </c:pt>
                <c:pt idx="22">
                  <c:v>-19.720051124529363</c:v>
                </c:pt>
                <c:pt idx="23">
                  <c:v>-20.662193530622623</c:v>
                </c:pt>
                <c:pt idx="24">
                  <c:v>-21.348089279135792</c:v>
                </c:pt>
                <c:pt idx="25">
                  <c:v>-21.859369947840548</c:v>
                </c:pt>
                <c:pt idx="26">
                  <c:v>-22.248374470942668</c:v>
                </c:pt>
                <c:pt idx="27">
                  <c:v>-22.549793256826764</c:v>
                </c:pt>
                <c:pt idx="28">
                  <c:v>-23.688667484746286</c:v>
                </c:pt>
                <c:pt idx="29">
                  <c:v>-23.946468861264016</c:v>
                </c:pt>
                <c:pt idx="30">
                  <c:v>-24.052095416453806</c:v>
                </c:pt>
                <c:pt idx="31">
                  <c:v>-24.114697453557451</c:v>
                </c:pt>
                <c:pt idx="32">
                  <c:v>-24.162652885511395</c:v>
                </c:pt>
                <c:pt idx="33">
                  <c:v>-24.205860023327382</c:v>
                </c:pt>
                <c:pt idx="34">
                  <c:v>-24.248448783791765</c:v>
                </c:pt>
                <c:pt idx="35">
                  <c:v>-24.292349856805245</c:v>
                </c:pt>
                <c:pt idx="36">
                  <c:v>-24.338528033902307</c:v>
                </c:pt>
                <c:pt idx="37">
                  <c:v>-24.963286381370718</c:v>
                </c:pt>
                <c:pt idx="38">
                  <c:v>-25.824363111801169</c:v>
                </c:pt>
                <c:pt idx="39">
                  <c:v>-26.798178709561881</c:v>
                </c:pt>
                <c:pt idx="40">
                  <c:v>-27.795550234546482</c:v>
                </c:pt>
                <c:pt idx="41">
                  <c:v>-28.76728967544361</c:v>
                </c:pt>
                <c:pt idx="42">
                  <c:v>-29.690731476031527</c:v>
                </c:pt>
                <c:pt idx="43">
                  <c:v>-30.557920021474988</c:v>
                </c:pt>
                <c:pt idx="44">
                  <c:v>-31.368284494418425</c:v>
                </c:pt>
                <c:pt idx="45">
                  <c:v>-32.124642766446307</c:v>
                </c:pt>
                <c:pt idx="46">
                  <c:v>-37.594635068199068</c:v>
                </c:pt>
                <c:pt idx="47">
                  <c:v>-41.006362117887278</c:v>
                </c:pt>
                <c:pt idx="48">
                  <c:v>-43.465933170799289</c:v>
                </c:pt>
                <c:pt idx="49">
                  <c:v>-45.385867163578801</c:v>
                </c:pt>
                <c:pt idx="50">
                  <c:v>-46.959537356309625</c:v>
                </c:pt>
                <c:pt idx="51">
                  <c:v>-48.292459710789686</c:v>
                </c:pt>
                <c:pt idx="52">
                  <c:v>-49.448391235013027</c:v>
                </c:pt>
                <c:pt idx="53">
                  <c:v>-50.468760739113634</c:v>
                </c:pt>
                <c:pt idx="54">
                  <c:v>-51.381991869987182</c:v>
                </c:pt>
                <c:pt idx="55">
                  <c:v>-57.39645135845457</c:v>
                </c:pt>
              </c:numCache>
            </c:numRef>
          </c:yVal>
          <c:smooth val="1"/>
        </c:ser>
        <c:dLbls>
          <c:showLegendKey val="0"/>
          <c:showVal val="0"/>
          <c:showCatName val="0"/>
          <c:showSerName val="0"/>
          <c:showPercent val="0"/>
          <c:showBubbleSize val="0"/>
        </c:dLbls>
        <c:axId val="213072896"/>
        <c:axId val="213079168"/>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90.084981534736855</c:v>
                </c:pt>
                <c:pt idx="1">
                  <c:v>90.169962677897018</c:v>
                </c:pt>
                <c:pt idx="2">
                  <c:v>90.254943037914444</c:v>
                </c:pt>
                <c:pt idx="3">
                  <c:v>90.339922223244415</c:v>
                </c:pt>
                <c:pt idx="4">
                  <c:v>90.424899842374202</c:v>
                </c:pt>
                <c:pt idx="5">
                  <c:v>90.509875503833683</c:v>
                </c:pt>
                <c:pt idx="6">
                  <c:v>90.594848816206053</c:v>
                </c:pt>
                <c:pt idx="7">
                  <c:v>90.679819388138426</c:v>
                </c:pt>
                <c:pt idx="8">
                  <c:v>90.764786828352499</c:v>
                </c:pt>
                <c:pt idx="9">
                  <c:v>90.8497507456552</c:v>
                </c:pt>
                <c:pt idx="10">
                  <c:v>91.699110178280989</c:v>
                </c:pt>
                <c:pt idx="11">
                  <c:v>92.547688048494095</c:v>
                </c:pt>
                <c:pt idx="12">
                  <c:v>93.395096226985942</c:v>
                </c:pt>
                <c:pt idx="13">
                  <c:v>94.240949746607569</c:v>
                </c:pt>
                <c:pt idx="14">
                  <c:v>95.084867823165226</c:v>
                </c:pt>
                <c:pt idx="15">
                  <c:v>95.926474848247423</c:v>
                </c:pt>
                <c:pt idx="16">
                  <c:v>96.765401347751123</c:v>
                </c:pt>
                <c:pt idx="17">
                  <c:v>97.601284900195168</c:v>
                </c:pt>
                <c:pt idx="18">
                  <c:v>98.433771009394277</c:v>
                </c:pt>
                <c:pt idx="19">
                  <c:v>106.50092081958812</c:v>
                </c:pt>
                <c:pt idx="20">
                  <c:v>113.92105274467629</c:v>
                </c:pt>
                <c:pt idx="21">
                  <c:v>120.54106974954041</c:v>
                </c:pt>
                <c:pt idx="22">
                  <c:v>126.32453182396308</c:v>
                </c:pt>
                <c:pt idx="23">
                  <c:v>131.31404901478624</c:v>
                </c:pt>
                <c:pt idx="24">
                  <c:v>135.59265583666348</c:v>
                </c:pt>
                <c:pt idx="25">
                  <c:v>139.25623986781264</c:v>
                </c:pt>
                <c:pt idx="26">
                  <c:v>142.39790945973417</c:v>
                </c:pt>
                <c:pt idx="27">
                  <c:v>145.10089718209025</c:v>
                </c:pt>
                <c:pt idx="28">
                  <c:v>159.00060826136078</c:v>
                </c:pt>
                <c:pt idx="29">
                  <c:v>163.5715677116041</c:v>
                </c:pt>
                <c:pt idx="30">
                  <c:v>165.31618151699001</c:v>
                </c:pt>
                <c:pt idx="31">
                  <c:v>165.87185073178409</c:v>
                </c:pt>
                <c:pt idx="32">
                  <c:v>165.82344026166399</c:v>
                </c:pt>
                <c:pt idx="33">
                  <c:v>165.42989642016371</c:v>
                </c:pt>
                <c:pt idx="34">
                  <c:v>164.82335746641161</c:v>
                </c:pt>
                <c:pt idx="35">
                  <c:v>164.07842552566575</c:v>
                </c:pt>
                <c:pt idx="36">
                  <c:v>163.24054519840053</c:v>
                </c:pt>
                <c:pt idx="37">
                  <c:v>153.38182433539185</c:v>
                </c:pt>
                <c:pt idx="38">
                  <c:v>144.10873151669952</c:v>
                </c:pt>
                <c:pt idx="39">
                  <c:v>136.4160527735051</c:v>
                </c:pt>
                <c:pt idx="40">
                  <c:v>130.22946976096065</c:v>
                </c:pt>
                <c:pt idx="41">
                  <c:v>125.27642826311893</c:v>
                </c:pt>
                <c:pt idx="42">
                  <c:v>121.28467410687101</c:v>
                </c:pt>
                <c:pt idx="43">
                  <c:v>118.03164678335909</c:v>
                </c:pt>
                <c:pt idx="44">
                  <c:v>115.34722678282743</c:v>
                </c:pt>
                <c:pt idx="45">
                  <c:v>113.1042416913407</c:v>
                </c:pt>
                <c:pt idx="46">
                  <c:v>102.06666691091982</c:v>
                </c:pt>
                <c:pt idx="47">
                  <c:v>98.114113816305533</c:v>
                </c:pt>
                <c:pt idx="48">
                  <c:v>96.104255763596015</c:v>
                </c:pt>
                <c:pt idx="49">
                  <c:v>94.890373176201621</c:v>
                </c:pt>
                <c:pt idx="50">
                  <c:v>94.078477808034805</c:v>
                </c:pt>
                <c:pt idx="51">
                  <c:v>93.497478450099067</c:v>
                </c:pt>
                <c:pt idx="52">
                  <c:v>93.061226479150591</c:v>
                </c:pt>
                <c:pt idx="53">
                  <c:v>92.721659209434549</c:v>
                </c:pt>
                <c:pt idx="54">
                  <c:v>92.449859827244381</c:v>
                </c:pt>
                <c:pt idx="55">
                  <c:v>91.225516546307688</c:v>
                </c:pt>
              </c:numCache>
            </c:numRef>
          </c:yVal>
          <c:smooth val="1"/>
        </c:ser>
        <c:dLbls>
          <c:showLegendKey val="0"/>
          <c:showVal val="0"/>
          <c:showCatName val="0"/>
          <c:showSerName val="0"/>
          <c:showPercent val="0"/>
          <c:showBubbleSize val="0"/>
        </c:dLbls>
        <c:axId val="213083264"/>
        <c:axId val="213081088"/>
      </c:scatterChart>
      <c:valAx>
        <c:axId val="21307289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213079168"/>
        <c:crosses val="autoZero"/>
        <c:crossBetween val="midCat"/>
      </c:valAx>
      <c:valAx>
        <c:axId val="21307916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13072896"/>
        <c:crosses val="autoZero"/>
        <c:crossBetween val="midCat"/>
        <c:majorUnit val="20"/>
      </c:valAx>
      <c:valAx>
        <c:axId val="21308108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3083264"/>
        <c:crosses val="max"/>
        <c:crossBetween val="midCat"/>
      </c:valAx>
      <c:valAx>
        <c:axId val="213083264"/>
        <c:scaling>
          <c:logBase val="10"/>
          <c:orientation val="minMax"/>
        </c:scaling>
        <c:delete val="1"/>
        <c:axPos val="b"/>
        <c:majorGridlines/>
        <c:minorGridlines/>
        <c:numFmt formatCode="##0.000E+0" sourceLinked="1"/>
        <c:majorTickMark val="out"/>
        <c:minorTickMark val="none"/>
        <c:tickLblPos val="nextTo"/>
        <c:crossAx val="21308108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4626088405616"/>
          <c:y val="3.8550415573053366E-2"/>
          <c:w val="0.74697891930175397"/>
          <c:h val="0.8008360673665792"/>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60.001738108542114</c:v>
                </c:pt>
                <c:pt idx="1">
                  <c:v>53.981162603299225</c:v>
                </c:pt>
                <c:pt idx="2">
                  <c:v>50.459378101813357</c:v>
                </c:pt>
                <c:pt idx="3">
                  <c:v>47.960660320215879</c:v>
                </c:pt>
                <c:pt idx="4">
                  <c:v>46.02253328065364</c:v>
                </c:pt>
                <c:pt idx="5">
                  <c:v>44.438997849160103</c:v>
                </c:pt>
                <c:pt idx="6">
                  <c:v>43.10016781343657</c:v>
                </c:pt>
                <c:pt idx="7">
                  <c:v>41.940450896511166</c:v>
                </c:pt>
                <c:pt idx="8">
                  <c:v>40.91753873398136</c:v>
                </c:pt>
                <c:pt idx="9">
                  <c:v>40.002543470765517</c:v>
                </c:pt>
                <c:pt idx="10">
                  <c:v>33.984382752742341</c:v>
                </c:pt>
                <c:pt idx="11">
                  <c:v>30.466618571159845</c:v>
                </c:pt>
                <c:pt idx="12">
                  <c:v>27.973520175034334</c:v>
                </c:pt>
                <c:pt idx="13">
                  <c:v>26.042602574503313</c:v>
                </c:pt>
                <c:pt idx="14">
                  <c:v>24.467855120169922</c:v>
                </c:pt>
                <c:pt idx="15">
                  <c:v>23.139377633532227</c:v>
                </c:pt>
                <c:pt idx="16">
                  <c:v>21.991561483974166</c:v>
                </c:pt>
                <c:pt idx="17">
                  <c:v>20.982079639439448</c:v>
                </c:pt>
                <c:pt idx="18">
                  <c:v>20.082023346046405</c:v>
                </c:pt>
                <c:pt idx="19">
                  <c:v>14.290239118583063</c:v>
                </c:pt>
                <c:pt idx="20">
                  <c:v>11.114397624140853</c:v>
                </c:pt>
                <c:pt idx="21">
                  <c:v>9.0390931510513788</c:v>
                </c:pt>
                <c:pt idx="22">
                  <c:v>7.5641633667378763</c:v>
                </c:pt>
                <c:pt idx="23">
                  <c:v>6.45367119768121</c:v>
                </c:pt>
                <c:pt idx="24">
                  <c:v>5.576881115703479</c:v>
                </c:pt>
                <c:pt idx="25">
                  <c:v>4.8552842361525279</c:v>
                </c:pt>
                <c:pt idx="26">
                  <c:v>4.2396198936072693</c:v>
                </c:pt>
                <c:pt idx="27">
                  <c:v>3.6981318696913128</c:v>
                </c:pt>
                <c:pt idx="28">
                  <c:v>-0.1103952880681689</c:v>
                </c:pt>
                <c:pt idx="29">
                  <c:v>-2.8364501845841623</c:v>
                </c:pt>
                <c:pt idx="30">
                  <c:v>-5.0020588623611033</c:v>
                </c:pt>
                <c:pt idx="31">
                  <c:v>-6.7836750021262553</c:v>
                </c:pt>
                <c:pt idx="32">
                  <c:v>-8.2913465432194471</c:v>
                </c:pt>
                <c:pt idx="33">
                  <c:v>-9.59698972261927</c:v>
                </c:pt>
                <c:pt idx="34">
                  <c:v>-10.748991865457791</c:v>
                </c:pt>
                <c:pt idx="35">
                  <c:v>-11.780985696102627</c:v>
                </c:pt>
                <c:pt idx="36">
                  <c:v>-12.717089158869559</c:v>
                </c:pt>
                <c:pt idx="37">
                  <c:v>-19.279168207734397</c:v>
                </c:pt>
                <c:pt idx="38">
                  <c:v>-23.6434352285413</c:v>
                </c:pt>
                <c:pt idx="39">
                  <c:v>-27.105898460013023</c:v>
                </c:pt>
                <c:pt idx="40">
                  <c:v>-30.032845894829851</c:v>
                </c:pt>
                <c:pt idx="41">
                  <c:v>-32.579359110990495</c:v>
                </c:pt>
                <c:pt idx="42">
                  <c:v>-34.832070380029776</c:v>
                </c:pt>
                <c:pt idx="43">
                  <c:v>-36.848375730019349</c:v>
                </c:pt>
                <c:pt idx="44">
                  <c:v>-38.669903212480712</c:v>
                </c:pt>
                <c:pt idx="45">
                  <c:v>-40.328306514979502</c:v>
                </c:pt>
                <c:pt idx="46">
                  <c:v>-51.620110353604957</c:v>
                </c:pt>
                <c:pt idx="47">
                  <c:v>-58.242392299056732</c:v>
                </c:pt>
                <c:pt idx="48">
                  <c:v>-62.799472144583561</c:v>
                </c:pt>
                <c:pt idx="49">
                  <c:v>-66.190850119639009</c:v>
                </c:pt>
                <c:pt idx="50">
                  <c:v>-68.838386540194051</c:v>
                </c:pt>
                <c:pt idx="51">
                  <c:v>-70.976061788393906</c:v>
                </c:pt>
                <c:pt idx="52">
                  <c:v>-72.747457784135761</c:v>
                </c:pt>
                <c:pt idx="53">
                  <c:v>-74.246598288641138</c:v>
                </c:pt>
                <c:pt idx="54">
                  <c:v>-75.537868233043355</c:v>
                </c:pt>
                <c:pt idx="55">
                  <c:v>-83.044601445668974</c:v>
                </c:pt>
              </c:numCache>
            </c:numRef>
          </c:yVal>
          <c:smooth val="1"/>
        </c:ser>
        <c:dLbls>
          <c:showLegendKey val="0"/>
          <c:showVal val="0"/>
          <c:showCatName val="0"/>
          <c:showSerName val="0"/>
          <c:showPercent val="0"/>
          <c:showBubbleSize val="0"/>
        </c:dLbls>
        <c:axId val="213117568"/>
        <c:axId val="213193472"/>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90.049053539474258</c:v>
                </c:pt>
                <c:pt idx="1">
                  <c:v>90.098106715796263</c:v>
                </c:pt>
                <c:pt idx="2">
                  <c:v>90.147159165824249</c:v>
                </c:pt>
                <c:pt idx="3">
                  <c:v>90.196210526437511</c:v>
                </c:pt>
                <c:pt idx="4">
                  <c:v>90.24526043454695</c:v>
                </c:pt>
                <c:pt idx="5">
                  <c:v>90.294308527105528</c:v>
                </c:pt>
                <c:pt idx="6">
                  <c:v>90.343354441118848</c:v>
                </c:pt>
                <c:pt idx="7">
                  <c:v>90.39239781365562</c:v>
                </c:pt>
                <c:pt idx="8">
                  <c:v>90.441438281858183</c:v>
                </c:pt>
                <c:pt idx="9">
                  <c:v>90.490475482953059</c:v>
                </c:pt>
                <c:pt idx="10">
                  <c:v>90.980588073971106</c:v>
                </c:pt>
                <c:pt idx="11">
                  <c:v>91.469975931304717</c:v>
                </c:pt>
                <c:pt idx="12">
                  <c:v>91.958279306374109</c:v>
                </c:pt>
                <c:pt idx="13">
                  <c:v>92.445141572441202</c:v>
                </c:pt>
                <c:pt idx="14">
                  <c:v>92.930210232040224</c:v>
                </c:pt>
                <c:pt idx="15">
                  <c:v>93.413137896502988</c:v>
                </c:pt>
                <c:pt idx="16">
                  <c:v>93.893583231262369</c:v>
                </c:pt>
                <c:pt idx="17">
                  <c:v>94.371211861037338</c:v>
                </c:pt>
                <c:pt idx="18">
                  <c:v>94.845697229488195</c:v>
                </c:pt>
                <c:pt idx="19">
                  <c:v>99.352865012559064</c:v>
                </c:pt>
                <c:pt idx="20">
                  <c:v>103.26790333128424</c:v>
                </c:pt>
                <c:pt idx="21">
                  <c:v>106.46206737552478</c:v>
                </c:pt>
                <c:pt idx="22">
                  <c:v>108.91993732871384</c:v>
                </c:pt>
                <c:pt idx="23">
                  <c:v>110.70125162426034</c:v>
                </c:pt>
                <c:pt idx="24">
                  <c:v>111.90205969510775</c:v>
                </c:pt>
                <c:pt idx="25">
                  <c:v>112.62722974619288</c:v>
                </c:pt>
                <c:pt idx="26">
                  <c:v>112.97512847459269</c:v>
                </c:pt>
                <c:pt idx="27">
                  <c:v>113.03098950884893</c:v>
                </c:pt>
                <c:pt idx="28">
                  <c:v>107.65649521213417</c:v>
                </c:pt>
                <c:pt idx="29">
                  <c:v>101.73425393381108</c:v>
                </c:pt>
                <c:pt idx="30">
                  <c:v>97.301163063012851</c:v>
                </c:pt>
                <c:pt idx="31">
                  <c:v>93.888633145899078</c:v>
                </c:pt>
                <c:pt idx="32">
                  <c:v>91.111483356610321</c:v>
                </c:pt>
                <c:pt idx="33">
                  <c:v>88.743133213359883</c:v>
                </c:pt>
                <c:pt idx="34">
                  <c:v>86.651063788103073</c:v>
                </c:pt>
                <c:pt idx="35">
                  <c:v>84.754837659030571</c:v>
                </c:pt>
                <c:pt idx="36">
                  <c:v>83.003568381747812</c:v>
                </c:pt>
                <c:pt idx="37">
                  <c:v>69.37138656512235</c:v>
                </c:pt>
                <c:pt idx="38">
                  <c:v>59.304497761251653</c:v>
                </c:pt>
                <c:pt idx="39">
                  <c:v>51.572155618596454</c:v>
                </c:pt>
                <c:pt idx="40">
                  <c:v>45.647909261642965</c:v>
                </c:pt>
                <c:pt idx="41">
                  <c:v>41.107731275638727</c:v>
                </c:pt>
                <c:pt idx="42">
                  <c:v>37.614211201332125</c:v>
                </c:pt>
                <c:pt idx="43">
                  <c:v>34.912072146058151</c:v>
                </c:pt>
                <c:pt idx="44">
                  <c:v>32.812914566373493</c:v>
                </c:pt>
                <c:pt idx="45">
                  <c:v>31.178511167680355</c:v>
                </c:pt>
                <c:pt idx="46">
                  <c:v>26.630404984907727</c:v>
                </c:pt>
                <c:pt idx="47">
                  <c:v>29.074071897958561</c:v>
                </c:pt>
                <c:pt idx="48">
                  <c:v>33.018837325973273</c:v>
                </c:pt>
                <c:pt idx="49">
                  <c:v>37.214658326144658</c:v>
                </c:pt>
                <c:pt idx="50">
                  <c:v>41.24610380022424</c:v>
                </c:pt>
                <c:pt idx="51">
                  <c:v>44.964090950025046</c:v>
                </c:pt>
                <c:pt idx="52">
                  <c:v>48.326919792533111</c:v>
                </c:pt>
                <c:pt idx="53">
                  <c:v>51.340055076709341</c:v>
                </c:pt>
                <c:pt idx="54">
                  <c:v>54.029161561561139</c:v>
                </c:pt>
                <c:pt idx="55">
                  <c:v>69.574127097782323</c:v>
                </c:pt>
              </c:numCache>
            </c:numRef>
          </c:yVal>
          <c:smooth val="1"/>
        </c:ser>
        <c:dLbls>
          <c:showLegendKey val="0"/>
          <c:showVal val="0"/>
          <c:showCatName val="0"/>
          <c:showSerName val="0"/>
          <c:showPercent val="0"/>
          <c:showBubbleSize val="0"/>
        </c:dLbls>
        <c:axId val="213197568"/>
        <c:axId val="213195392"/>
      </c:scatterChart>
      <c:valAx>
        <c:axId val="213117568"/>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213193472"/>
        <c:crosses val="autoZero"/>
        <c:crossBetween val="midCat"/>
      </c:valAx>
      <c:valAx>
        <c:axId val="213193472"/>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13117568"/>
        <c:crosses val="autoZero"/>
        <c:crossBetween val="midCat"/>
        <c:majorUnit val="20"/>
      </c:valAx>
      <c:valAx>
        <c:axId val="21319539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13197568"/>
        <c:crosses val="max"/>
        <c:crossBetween val="midCat"/>
        <c:majorUnit val="90"/>
      </c:valAx>
      <c:valAx>
        <c:axId val="213197568"/>
        <c:scaling>
          <c:logBase val="10"/>
          <c:orientation val="minMax"/>
        </c:scaling>
        <c:delete val="1"/>
        <c:axPos val="b"/>
        <c:majorGridlines/>
        <c:minorGridlines/>
        <c:numFmt formatCode="##0.000E+0" sourceLinked="1"/>
        <c:majorTickMark val="out"/>
        <c:minorTickMark val="none"/>
        <c:tickLblPos val="nextTo"/>
        <c:crossAx val="213195392"/>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53018372703414"/>
          <c:y val="5.1400554097404488E-2"/>
          <c:w val="0.70106692913385826"/>
          <c:h val="0.7321486904001796"/>
        </c:manualLayout>
      </c:layout>
      <c:scatterChart>
        <c:scatterStyle val="smoothMarker"/>
        <c:varyColors val="0"/>
        <c:ser>
          <c:idx val="0"/>
          <c:order val="0"/>
          <c:tx>
            <c:strRef>
              <c:f>'Fly-Buck_Max'!$C$8</c:f>
              <c:strCache>
                <c:ptCount val="1"/>
                <c:pt idx="0">
                  <c:v>LM5160</c:v>
                </c:pt>
              </c:strCache>
            </c:strRef>
          </c:tx>
          <c:spPr>
            <a:ln>
              <a:solidFill>
                <a:srgbClr val="FF0000"/>
              </a:solidFill>
            </a:ln>
          </c:spPr>
          <c:marker>
            <c:symbol val="none"/>
          </c:marker>
          <c:xVal>
            <c:numRef>
              <c:f>'Fly-Buck_Max'!$B$11:$B$21</c:f>
              <c:numCache>
                <c:formatCode>General</c:formatCode>
                <c:ptCount val="11"/>
                <c:pt idx="0">
                  <c:v>4.5</c:v>
                </c:pt>
                <c:pt idx="1">
                  <c:v>6</c:v>
                </c:pt>
                <c:pt idx="2">
                  <c:v>7.5</c:v>
                </c:pt>
                <c:pt idx="3">
                  <c:v>10</c:v>
                </c:pt>
                <c:pt idx="4">
                  <c:v>13</c:v>
                </c:pt>
                <c:pt idx="5">
                  <c:v>18</c:v>
                </c:pt>
                <c:pt idx="6">
                  <c:v>20</c:v>
                </c:pt>
                <c:pt idx="7">
                  <c:v>24</c:v>
                </c:pt>
                <c:pt idx="8">
                  <c:v>30</c:v>
                </c:pt>
                <c:pt idx="9">
                  <c:v>36</c:v>
                </c:pt>
                <c:pt idx="10">
                  <c:v>40</c:v>
                </c:pt>
              </c:numCache>
            </c:numRef>
          </c:xVal>
          <c:yVal>
            <c:numRef>
              <c:f>'Fly-Buck_Max'!$C$11:$C$21</c:f>
              <c:numCache>
                <c:formatCode>0.0</c:formatCode>
                <c:ptCount val="11"/>
                <c:pt idx="0">
                  <c:v>3.0375000000000001</c:v>
                </c:pt>
                <c:pt idx="1">
                  <c:v>4.0500000000000007</c:v>
                </c:pt>
                <c:pt idx="2">
                  <c:v>5.0625</c:v>
                </c:pt>
                <c:pt idx="3">
                  <c:v>6.75</c:v>
                </c:pt>
                <c:pt idx="4">
                  <c:v>8.4240000000000013</c:v>
                </c:pt>
                <c:pt idx="5">
                  <c:v>9.7200000000000006</c:v>
                </c:pt>
                <c:pt idx="6">
                  <c:v>10.125</c:v>
                </c:pt>
                <c:pt idx="7">
                  <c:v>10.8</c:v>
                </c:pt>
                <c:pt idx="8">
                  <c:v>11.571428571428571</c:v>
                </c:pt>
                <c:pt idx="9">
                  <c:v>12.15</c:v>
                </c:pt>
                <c:pt idx="10">
                  <c:v>12.461538461538462</c:v>
                </c:pt>
              </c:numCache>
            </c:numRef>
          </c:yVal>
          <c:smooth val="1"/>
        </c:ser>
        <c:ser>
          <c:idx val="1"/>
          <c:order val="1"/>
          <c:tx>
            <c:strRef>
              <c:f>'Fly-Buck_Max'!$D$8</c:f>
              <c:strCache>
                <c:ptCount val="1"/>
                <c:pt idx="0">
                  <c:v>LM5017</c:v>
                </c:pt>
              </c:strCache>
            </c:strRef>
          </c:tx>
          <c:spPr>
            <a:ln>
              <a:solidFill>
                <a:schemeClr val="accent1"/>
              </a:solidFill>
            </a:ln>
          </c:spPr>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'Fly-Buck_Max'!$D$12:$D$21</c:f>
              <c:numCache>
                <c:formatCode>0.0</c:formatCode>
                <c:ptCount val="10"/>
                <c:pt idx="1">
                  <c:v>2.0250000000000004</c:v>
                </c:pt>
                <c:pt idx="2">
                  <c:v>2.7</c:v>
                </c:pt>
                <c:pt idx="3">
                  <c:v>3.3696000000000002</c:v>
                </c:pt>
                <c:pt idx="4">
                  <c:v>3.8880000000000003</c:v>
                </c:pt>
                <c:pt idx="5">
                  <c:v>4.0500000000000007</c:v>
                </c:pt>
                <c:pt idx="6">
                  <c:v>4.32</c:v>
                </c:pt>
                <c:pt idx="7">
                  <c:v>4.628571428571429</c:v>
                </c:pt>
                <c:pt idx="8">
                  <c:v>4.8600000000000003</c:v>
                </c:pt>
                <c:pt idx="9">
                  <c:v>4.9846153846153847</c:v>
                </c:pt>
              </c:numCache>
            </c:numRef>
          </c:yVal>
          <c:smooth val="1"/>
        </c:ser>
        <c:ser>
          <c:idx val="2"/>
          <c:order val="2"/>
          <c:tx>
            <c:strRef>
              <c:f>'Fly-Buck_Max'!$E$8</c:f>
              <c:strCache>
                <c:ptCount val="1"/>
                <c:pt idx="0">
                  <c:v>LM5018</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'Fly-Buck_Max'!$E$12:$E$21</c:f>
              <c:numCache>
                <c:formatCode>0.0</c:formatCode>
                <c:ptCount val="10"/>
                <c:pt idx="1">
                  <c:v>1.0125000000000002</c:v>
                </c:pt>
                <c:pt idx="2">
                  <c:v>1.35</c:v>
                </c:pt>
                <c:pt idx="3">
                  <c:v>1.6848000000000001</c:v>
                </c:pt>
                <c:pt idx="4">
                  <c:v>1.9440000000000002</c:v>
                </c:pt>
                <c:pt idx="5">
                  <c:v>2.0250000000000004</c:v>
                </c:pt>
                <c:pt idx="6">
                  <c:v>2.16</c:v>
                </c:pt>
                <c:pt idx="7">
                  <c:v>2.3142857142857145</c:v>
                </c:pt>
                <c:pt idx="8">
                  <c:v>2.4300000000000002</c:v>
                </c:pt>
                <c:pt idx="9">
                  <c:v>2.4923076923076923</c:v>
                </c:pt>
              </c:numCache>
            </c:numRef>
          </c:yVal>
          <c:smooth val="1"/>
        </c:ser>
        <c:ser>
          <c:idx val="3"/>
          <c:order val="3"/>
          <c:tx>
            <c:strRef>
              <c:f>'Fly-Buck_Max'!$F$8</c:f>
              <c:strCache>
                <c:ptCount val="1"/>
                <c:pt idx="0">
                  <c:v>LM5019</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'Fly-Buck_Max'!$F$12:$F$21</c:f>
              <c:numCache>
                <c:formatCode>0.0</c:formatCode>
                <c:ptCount val="10"/>
                <c:pt idx="1">
                  <c:v>0.33750000000000002</c:v>
                </c:pt>
                <c:pt idx="2">
                  <c:v>0.45000000000000007</c:v>
                </c:pt>
                <c:pt idx="3">
                  <c:v>0.5616000000000001</c:v>
                </c:pt>
                <c:pt idx="4">
                  <c:v>0.64800000000000013</c:v>
                </c:pt>
                <c:pt idx="5">
                  <c:v>0.67500000000000004</c:v>
                </c:pt>
                <c:pt idx="6">
                  <c:v>0.72000000000000008</c:v>
                </c:pt>
                <c:pt idx="7">
                  <c:v>0.77142857142857146</c:v>
                </c:pt>
                <c:pt idx="8">
                  <c:v>0.81</c:v>
                </c:pt>
                <c:pt idx="9">
                  <c:v>0.83076923076923082</c:v>
                </c:pt>
              </c:numCache>
            </c:numRef>
          </c:yVal>
          <c:smooth val="1"/>
        </c:ser>
        <c:dLbls>
          <c:showLegendKey val="0"/>
          <c:showVal val="0"/>
          <c:showCatName val="0"/>
          <c:showSerName val="0"/>
          <c:showPercent val="0"/>
          <c:showBubbleSize val="0"/>
        </c:dLbls>
        <c:axId val="213011072"/>
        <c:axId val="213021440"/>
      </c:scatterChart>
      <c:valAx>
        <c:axId val="213011072"/>
        <c:scaling>
          <c:orientation val="minMax"/>
          <c:min val="0"/>
        </c:scaling>
        <c:delete val="0"/>
        <c:axPos val="b"/>
        <c:majorGridlines/>
        <c:title>
          <c:tx>
            <c:rich>
              <a:bodyPr/>
              <a:lstStyle/>
              <a:p>
                <a:pPr>
                  <a:defRPr sz="1400"/>
                </a:pPr>
                <a:r>
                  <a:rPr lang="en-US" sz="1400"/>
                  <a:t>Minimum Operating Input Voltage (V)</a:t>
                </a:r>
              </a:p>
            </c:rich>
          </c:tx>
          <c:overlay val="0"/>
        </c:title>
        <c:numFmt formatCode="General" sourceLinked="1"/>
        <c:majorTickMark val="out"/>
        <c:minorTickMark val="none"/>
        <c:tickLblPos val="nextTo"/>
        <c:txPr>
          <a:bodyPr/>
          <a:lstStyle/>
          <a:p>
            <a:pPr>
              <a:defRPr sz="1200" b="1"/>
            </a:pPr>
            <a:endParaRPr lang="en-US"/>
          </a:p>
        </c:txPr>
        <c:crossAx val="213021440"/>
        <c:crosses val="autoZero"/>
        <c:crossBetween val="midCat"/>
        <c:majorUnit val="6"/>
      </c:valAx>
      <c:valAx>
        <c:axId val="213021440"/>
        <c:scaling>
          <c:orientation val="minMax"/>
        </c:scaling>
        <c:delete val="0"/>
        <c:axPos val="l"/>
        <c:majorGridlines/>
        <c:title>
          <c:tx>
            <c:rich>
              <a:bodyPr rot="-5400000" vert="horz"/>
              <a:lstStyle/>
              <a:p>
                <a:pPr>
                  <a:defRPr sz="1400"/>
                </a:pPr>
                <a:r>
                  <a:rPr lang="en-US" sz="1400"/>
                  <a:t>Maximum Output Power (W)</a:t>
                </a:r>
              </a:p>
            </c:rich>
          </c:tx>
          <c:layout>
            <c:manualLayout>
              <c:xMode val="edge"/>
              <c:yMode val="edge"/>
              <c:x val="4.1678040244969378E-2"/>
              <c:y val="0.10194372374710461"/>
            </c:manualLayout>
          </c:layout>
          <c:overlay val="0"/>
        </c:title>
        <c:numFmt formatCode="#\ ?/?" sourceLinked="0"/>
        <c:majorTickMark val="out"/>
        <c:minorTickMark val="none"/>
        <c:tickLblPos val="nextTo"/>
        <c:txPr>
          <a:bodyPr/>
          <a:lstStyle/>
          <a:p>
            <a:pPr>
              <a:defRPr sz="1200" b="1"/>
            </a:pPr>
            <a:endParaRPr lang="en-US"/>
          </a:p>
        </c:txPr>
        <c:crossAx val="213011072"/>
        <c:crosses val="autoZero"/>
        <c:crossBetween val="midCat"/>
      </c:valAx>
      <c:spPr>
        <a:noFill/>
      </c:spPr>
    </c:plotArea>
    <c:legend>
      <c:legendPos val="r"/>
      <c:legendEntry>
        <c:idx val="0"/>
        <c:txPr>
          <a:bodyPr/>
          <a:lstStyle/>
          <a:p>
            <a:pPr>
              <a:defRPr sz="1200" b="1"/>
            </a:pPr>
            <a:endParaRPr lang="en-US"/>
          </a:p>
        </c:txPr>
      </c:legendEntry>
      <c:layout>
        <c:manualLayout>
          <c:xMode val="edge"/>
          <c:yMode val="edge"/>
          <c:x val="0.19096413652347108"/>
          <c:y val="6.0819680628250092E-2"/>
          <c:w val="0.19104820040979284"/>
          <c:h val="0.27544649846195507"/>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'Fly-Buck_Calc'!$Q$4:$Q$54</c:f>
              <c:numCache>
                <c:formatCode>General</c:formatCode>
                <c:ptCount val="51"/>
                <c:pt idx="0">
                  <c:v>0.55555555555555558</c:v>
                </c:pt>
                <c:pt idx="1">
                  <c:v>0.5112474437627812</c:v>
                </c:pt>
                <c:pt idx="2">
                  <c:v>0.47348484848484845</c:v>
                </c:pt>
                <c:pt idx="3">
                  <c:v>0.44091710758377428</c:v>
                </c:pt>
                <c:pt idx="4">
                  <c:v>0.41254125412541248</c:v>
                </c:pt>
                <c:pt idx="5">
                  <c:v>0.38759689922480617</c:v>
                </c:pt>
                <c:pt idx="6">
                  <c:v>0.36549707602339182</c:v>
                </c:pt>
                <c:pt idx="7">
                  <c:v>0.34578146611341631</c:v>
                </c:pt>
                <c:pt idx="8">
                  <c:v>0.32808398950131235</c:v>
                </c:pt>
                <c:pt idx="9">
                  <c:v>0.31210986267166041</c:v>
                </c:pt>
                <c:pt idx="10">
                  <c:v>0.29761904761904762</c:v>
                </c:pt>
                <c:pt idx="11">
                  <c:v>0.28441410693970426</c:v>
                </c:pt>
                <c:pt idx="12">
                  <c:v>0.27233115468409586</c:v>
                </c:pt>
                <c:pt idx="13">
                  <c:v>0.2612330198537095</c:v>
                </c:pt>
                <c:pt idx="14">
                  <c:v>0.25100401606425699</c:v>
                </c:pt>
                <c:pt idx="15">
                  <c:v>0.24154589371980673</c:v>
                </c:pt>
                <c:pt idx="16">
                  <c:v>0.23277467411545624</c:v>
                </c:pt>
                <c:pt idx="17">
                  <c:v>0.22461814914645106</c:v>
                </c:pt>
                <c:pt idx="18">
                  <c:v>0.2170138888888889</c:v>
                </c:pt>
                <c:pt idx="19">
                  <c:v>0.20990764063811923</c:v>
                </c:pt>
                <c:pt idx="20">
                  <c:v>0.2032520325203252</c:v>
                </c:pt>
                <c:pt idx="21">
                  <c:v>0.19700551615445233</c:v>
                </c:pt>
                <c:pt idx="22">
                  <c:v>0.19113149847094801</c:v>
                </c:pt>
                <c:pt idx="23">
                  <c:v>0.1855976243504083</c:v>
                </c:pt>
                <c:pt idx="24">
                  <c:v>0.18037518037518038</c:v>
                </c:pt>
                <c:pt idx="25">
                  <c:v>0.17543859649122806</c:v>
                </c:pt>
                <c:pt idx="26">
                  <c:v>0.17076502732240437</c:v>
                </c:pt>
                <c:pt idx="27">
                  <c:v>0.16633399866932799</c:v>
                </c:pt>
                <c:pt idx="28">
                  <c:v>0.16212710765239949</c:v>
                </c:pt>
                <c:pt idx="29">
                  <c:v>0.15812776723592661</c:v>
                </c:pt>
                <c:pt idx="30">
                  <c:v>0.15432098765432095</c:v>
                </c:pt>
                <c:pt idx="31">
                  <c:v>0.15069318866787221</c:v>
                </c:pt>
                <c:pt idx="32">
                  <c:v>0.14723203769140164</c:v>
                </c:pt>
                <c:pt idx="33">
                  <c:v>0.14392630972941853</c:v>
                </c:pt>
                <c:pt idx="34">
                  <c:v>0.14076576576576577</c:v>
                </c:pt>
                <c:pt idx="35">
                  <c:v>0.13774104683195593</c:v>
                </c:pt>
                <c:pt idx="36">
                  <c:v>0.13484358144552319</c:v>
                </c:pt>
                <c:pt idx="37">
                  <c:v>0.13206550449022716</c:v>
                </c:pt>
                <c:pt idx="38">
                  <c:v>0.12939958592132506</c:v>
                </c:pt>
                <c:pt idx="39">
                  <c:v>0.12683916793505834</c:v>
                </c:pt>
                <c:pt idx="40">
                  <c:v>0.12437810945273631</c:v>
                </c:pt>
                <c:pt idx="41">
                  <c:v>0.12201073694485114</c:v>
                </c:pt>
                <c:pt idx="42">
                  <c:v>0.11973180076628354</c:v>
                </c:pt>
                <c:pt idx="43">
                  <c:v>0.11753643629525153</c:v>
                </c:pt>
                <c:pt idx="44">
                  <c:v>0.11542012927054478</c:v>
                </c:pt>
                <c:pt idx="45">
                  <c:v>0.11337868480725623</c:v>
                </c:pt>
                <c:pt idx="46">
                  <c:v>0.11140819964349376</c:v>
                </c:pt>
                <c:pt idx="47">
                  <c:v>0.10950503723171265</c:v>
                </c:pt>
                <c:pt idx="48">
                  <c:v>0.10766580534022395</c:v>
                </c:pt>
                <c:pt idx="49">
                  <c:v>0.1058873358746294</c:v>
                </c:pt>
                <c:pt idx="50">
                  <c:v>0.10416666666666667</c:v>
                </c:pt>
              </c:numCache>
            </c:numRef>
          </c:yVal>
          <c:smooth val="1"/>
        </c:ser>
        <c:dLbls>
          <c:showLegendKey val="0"/>
          <c:showVal val="0"/>
          <c:showCatName val="0"/>
          <c:showSerName val="0"/>
          <c:showPercent val="0"/>
          <c:showBubbleSize val="0"/>
        </c:dLbls>
        <c:axId val="182986240"/>
        <c:axId val="182988160"/>
      </c:scatterChart>
      <c:valAx>
        <c:axId val="18298624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2988160"/>
        <c:crosses val="autoZero"/>
        <c:crossBetween val="midCat"/>
      </c:valAx>
      <c:valAx>
        <c:axId val="182988160"/>
        <c:scaling>
          <c:orientation val="minMax"/>
        </c:scaling>
        <c:delete val="0"/>
        <c:axPos val="l"/>
        <c:majorGridlines/>
        <c:title>
          <c:tx>
            <c:rich>
              <a:bodyPr rot="-5400000" vert="horz"/>
              <a:lstStyle/>
              <a:p>
                <a:pPr>
                  <a:defRPr/>
                </a:pPr>
                <a:r>
                  <a:rPr lang="en-US"/>
                  <a:t>Duty Cycle (%)</a:t>
                </a:r>
              </a:p>
            </c:rich>
          </c:tx>
          <c:layout/>
          <c:overlay val="0"/>
        </c:title>
        <c:numFmt formatCode="0.0%" sourceLinked="0"/>
        <c:majorTickMark val="out"/>
        <c:minorTickMark val="none"/>
        <c:tickLblPos val="nextTo"/>
        <c:crossAx val="182986240"/>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layout/>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9</c:v>
                </c:pt>
                <c:pt idx="1">
                  <c:v>9.7799999999999994</c:v>
                </c:pt>
                <c:pt idx="2">
                  <c:v>10.56</c:v>
                </c:pt>
                <c:pt idx="3">
                  <c:v>11.34</c:v>
                </c:pt>
                <c:pt idx="4">
                  <c:v>12.120000000000001</c:v>
                </c:pt>
                <c:pt idx="5">
                  <c:v>12.9</c:v>
                </c:pt>
                <c:pt idx="6">
                  <c:v>13.68</c:v>
                </c:pt>
                <c:pt idx="7">
                  <c:v>14.46</c:v>
                </c:pt>
                <c:pt idx="8">
                  <c:v>15.24</c:v>
                </c:pt>
                <c:pt idx="9">
                  <c:v>16.02</c:v>
                </c:pt>
                <c:pt idx="10">
                  <c:v>16.8</c:v>
                </c:pt>
                <c:pt idx="11">
                  <c:v>17.579999999999998</c:v>
                </c:pt>
                <c:pt idx="12">
                  <c:v>18.36</c:v>
                </c:pt>
                <c:pt idx="13">
                  <c:v>19.14</c:v>
                </c:pt>
                <c:pt idx="14">
                  <c:v>19.920000000000002</c:v>
                </c:pt>
                <c:pt idx="15">
                  <c:v>20.700000000000003</c:v>
                </c:pt>
                <c:pt idx="16">
                  <c:v>21.48</c:v>
                </c:pt>
                <c:pt idx="17">
                  <c:v>22.259999999999998</c:v>
                </c:pt>
                <c:pt idx="18">
                  <c:v>23.04</c:v>
                </c:pt>
                <c:pt idx="19">
                  <c:v>23.82</c:v>
                </c:pt>
                <c:pt idx="20">
                  <c:v>24.6</c:v>
                </c:pt>
                <c:pt idx="21">
                  <c:v>25.38</c:v>
                </c:pt>
                <c:pt idx="22">
                  <c:v>26.16</c:v>
                </c:pt>
                <c:pt idx="23">
                  <c:v>26.94</c:v>
                </c:pt>
                <c:pt idx="24">
                  <c:v>27.72</c:v>
                </c:pt>
                <c:pt idx="25">
                  <c:v>28.5</c:v>
                </c:pt>
                <c:pt idx="26">
                  <c:v>29.28</c:v>
                </c:pt>
                <c:pt idx="27">
                  <c:v>30.060000000000002</c:v>
                </c:pt>
                <c:pt idx="28">
                  <c:v>30.84</c:v>
                </c:pt>
                <c:pt idx="29">
                  <c:v>31.62</c:v>
                </c:pt>
                <c:pt idx="30">
                  <c:v>32.400000000000006</c:v>
                </c:pt>
                <c:pt idx="31">
                  <c:v>33.18</c:v>
                </c:pt>
                <c:pt idx="32">
                  <c:v>33.96</c:v>
                </c:pt>
                <c:pt idx="33">
                  <c:v>34.74</c:v>
                </c:pt>
                <c:pt idx="34">
                  <c:v>35.519999999999996</c:v>
                </c:pt>
                <c:pt idx="35">
                  <c:v>36.299999999999997</c:v>
                </c:pt>
                <c:pt idx="36">
                  <c:v>37.08</c:v>
                </c:pt>
                <c:pt idx="37">
                  <c:v>37.86</c:v>
                </c:pt>
                <c:pt idx="38">
                  <c:v>38.64</c:v>
                </c:pt>
                <c:pt idx="39">
                  <c:v>39.42</c:v>
                </c:pt>
                <c:pt idx="40">
                  <c:v>40.200000000000003</c:v>
                </c:pt>
                <c:pt idx="41">
                  <c:v>40.980000000000004</c:v>
                </c:pt>
                <c:pt idx="42">
                  <c:v>41.76</c:v>
                </c:pt>
                <c:pt idx="43">
                  <c:v>42.54</c:v>
                </c:pt>
                <c:pt idx="44">
                  <c:v>43.32</c:v>
                </c:pt>
                <c:pt idx="45">
                  <c:v>44.1</c:v>
                </c:pt>
                <c:pt idx="46">
                  <c:v>44.88</c:v>
                </c:pt>
                <c:pt idx="47">
                  <c:v>45.660000000000004</c:v>
                </c:pt>
                <c:pt idx="48">
                  <c:v>46.44</c:v>
                </c:pt>
                <c:pt idx="49">
                  <c:v>47.22</c:v>
                </c:pt>
                <c:pt idx="50">
                  <c:v>48</c:v>
                </c:pt>
              </c:numCache>
            </c:numRef>
          </c:xVal>
          <c:yVal>
            <c:numRef>
              <c:f>'Fly-Buck_Calc'!$T$4:$T$54</c:f>
              <c:numCache>
                <c:formatCode>General</c:formatCode>
                <c:ptCount val="51"/>
                <c:pt idx="0">
                  <c:v>1.1992945326278661</c:v>
                </c:pt>
                <c:pt idx="1">
                  <c:v>1.2080858246502419</c:v>
                </c:pt>
                <c:pt idx="2">
                  <c:v>1.2155784030784031</c:v>
                </c:pt>
                <c:pt idx="3">
                  <c:v>1.2220402564317909</c:v>
                </c:pt>
                <c:pt idx="4">
                  <c:v>1.2276703860862277</c:v>
                </c:pt>
                <c:pt idx="5">
                  <c:v>1.232619662852221</c:v>
                </c:pt>
                <c:pt idx="6">
                  <c:v>1.2370045484080572</c:v>
                </c:pt>
                <c:pt idx="7">
                  <c:v>1.2409163757711477</c:v>
                </c:pt>
                <c:pt idx="8">
                  <c:v>1.2444277798608505</c:v>
                </c:pt>
                <c:pt idx="9">
                  <c:v>1.2475972494699086</c:v>
                </c:pt>
                <c:pt idx="10">
                  <c:v>1.2504724111866967</c:v>
                </c:pt>
                <c:pt idx="11">
                  <c:v>1.2530924390992648</c:v>
                </c:pt>
                <c:pt idx="12">
                  <c:v>1.2554898502610921</c:v>
                </c:pt>
                <c:pt idx="13">
                  <c:v>1.2576918611401369</c:v>
                </c:pt>
                <c:pt idx="14">
                  <c:v>1.2597214253840761</c:v>
                </c:pt>
                <c:pt idx="15">
                  <c:v>1.2615980369603559</c:v>
                </c:pt>
                <c:pt idx="16">
                  <c:v>1.2633383583104252</c:v>
                </c:pt>
                <c:pt idx="17">
                  <c:v>1.2649567164391962</c:v>
                </c:pt>
                <c:pt idx="18">
                  <c:v>1.2664654982363315</c:v>
                </c:pt>
                <c:pt idx="19">
                  <c:v>1.2678754681273572</c:v>
                </c:pt>
                <c:pt idx="20">
                  <c:v>1.2691960252935863</c:v>
                </c:pt>
                <c:pt idx="21">
                  <c:v>1.2704354134614182</c:v>
                </c:pt>
                <c:pt idx="22">
                  <c:v>1.2716008931605263</c:v>
                </c:pt>
                <c:pt idx="23">
                  <c:v>1.2726988840574587</c:v>
                </c:pt>
                <c:pt idx="24">
                  <c:v>1.2737350832588925</c:v>
                </c:pt>
                <c:pt idx="25">
                  <c:v>1.2747145641882485</c:v>
                </c:pt>
                <c:pt idx="26">
                  <c:v>1.2756418596582533</c:v>
                </c:pt>
                <c:pt idx="27">
                  <c:v>1.276521032010054</c:v>
                </c:pt>
                <c:pt idx="28">
                  <c:v>1.2773557326086507</c:v>
                </c:pt>
                <c:pt idx="29">
                  <c:v>1.2781492525325544</c:v>
                </c:pt>
                <c:pt idx="30">
                  <c:v>1.278904565941603</c:v>
                </c:pt>
                <c:pt idx="31">
                  <c:v>1.2796243673278032</c:v>
                </c:pt>
                <c:pt idx="32">
                  <c:v>1.2803111036326584</c:v>
                </c:pt>
                <c:pt idx="33">
                  <c:v>1.2809670020378139</c:v>
                </c:pt>
                <c:pt idx="34">
                  <c:v>1.2815940940940942</c:v>
                </c:pt>
                <c:pt idx="35">
                  <c:v>1.282194236739691</c:v>
                </c:pt>
                <c:pt idx="36">
                  <c:v>1.2827691306655709</c:v>
                </c:pt>
                <c:pt idx="37">
                  <c:v>1.2833203364106693</c:v>
                </c:pt>
                <c:pt idx="38">
                  <c:v>1.2838492885076733</c:v>
                </c:pt>
                <c:pt idx="39">
                  <c:v>1.2843573079493933</c:v>
                </c:pt>
                <c:pt idx="40">
                  <c:v>1.2848456132038222</c:v>
                </c:pt>
                <c:pt idx="41">
                  <c:v>1.2853153299712594</c:v>
                </c:pt>
                <c:pt idx="42">
                  <c:v>1.2857674998479598</c:v>
                </c:pt>
                <c:pt idx="43">
                  <c:v>1.2862030880366564</c:v>
                </c:pt>
                <c:pt idx="44">
                  <c:v>1.2866229902240982</c:v>
                </c:pt>
                <c:pt idx="45">
                  <c:v>1.2870280387287192</c:v>
                </c:pt>
                <c:pt idx="46">
                  <c:v>1.2874190080072434</c:v>
                </c:pt>
                <c:pt idx="47">
                  <c:v>1.2877966195968824</c:v>
                </c:pt>
                <c:pt idx="48">
                  <c:v>1.2881615465594793</c:v>
                </c:pt>
                <c:pt idx="49">
                  <c:v>1.2885144174851926</c:v>
                </c:pt>
                <c:pt idx="50">
                  <c:v>1.28885582010582</c:v>
                </c:pt>
              </c:numCache>
            </c:numRef>
          </c:yVal>
          <c:smooth val="1"/>
        </c:ser>
        <c:dLbls>
          <c:showLegendKey val="0"/>
          <c:showVal val="0"/>
          <c:showCatName val="0"/>
          <c:showSerName val="0"/>
          <c:showPercent val="0"/>
          <c:showBubbleSize val="0"/>
        </c:dLbls>
        <c:axId val="183029760"/>
        <c:axId val="183031680"/>
      </c:scatterChart>
      <c:valAx>
        <c:axId val="183029760"/>
        <c:scaling>
          <c:orientation val="minMax"/>
        </c:scaling>
        <c:delete val="0"/>
        <c:axPos val="b"/>
        <c:majorGridlines/>
        <c:title>
          <c:tx>
            <c:rich>
              <a:bodyPr/>
              <a:lstStyle/>
              <a:p>
                <a:pPr>
                  <a:defRPr/>
                </a:pPr>
                <a:r>
                  <a:rPr lang="en-US"/>
                  <a:t>VIN</a:t>
                </a:r>
                <a:r>
                  <a:rPr lang="en-US" baseline="0"/>
                  <a:t> (V)</a:t>
                </a:r>
                <a:endParaRPr lang="en-US"/>
              </a:p>
            </c:rich>
          </c:tx>
          <c:layout/>
          <c:overlay val="0"/>
        </c:title>
        <c:numFmt formatCode="General" sourceLinked="1"/>
        <c:majorTickMark val="out"/>
        <c:minorTickMark val="none"/>
        <c:tickLblPos val="nextTo"/>
        <c:crossAx val="183031680"/>
        <c:crosses val="autoZero"/>
        <c:crossBetween val="midCat"/>
      </c:valAx>
      <c:valAx>
        <c:axId val="183031680"/>
        <c:scaling>
          <c:orientation val="minMax"/>
        </c:scaling>
        <c:delete val="0"/>
        <c:axPos val="l"/>
        <c:majorGridlines/>
        <c:title>
          <c:tx>
            <c:rich>
              <a:bodyPr rot="-5400000" vert="horz"/>
              <a:lstStyle/>
              <a:p>
                <a:pPr>
                  <a:defRPr/>
                </a:pPr>
                <a:r>
                  <a:rPr lang="en-US"/>
                  <a:t>Peak</a:t>
                </a:r>
                <a:r>
                  <a:rPr lang="en-US" baseline="0"/>
                  <a:t> Current (A)</a:t>
                </a:r>
                <a:endParaRPr lang="en-US"/>
              </a:p>
            </c:rich>
          </c:tx>
          <c:layout/>
          <c:overlay val="0"/>
        </c:title>
        <c:numFmt formatCode="General" sourceLinked="0"/>
        <c:majorTickMark val="out"/>
        <c:minorTickMark val="none"/>
        <c:tickLblPos val="nextTo"/>
        <c:crossAx val="183029760"/>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image" Target="../media/image20.png"/><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3.xml"/><Relationship Id="rId13" Type="http://schemas.openxmlformats.org/officeDocument/2006/relationships/chart" Target="../charts/chart38.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6" Type="http://schemas.openxmlformats.org/officeDocument/2006/relationships/chart" Target="../charts/chart41.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5" Type="http://schemas.openxmlformats.org/officeDocument/2006/relationships/chart" Target="../charts/chart4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 Id="rId14"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6" Type="http://schemas.openxmlformats.org/officeDocument/2006/relationships/chart" Target="../charts/chart58.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chart" Target="../charts/chart57.xml"/><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7.xml"/><Relationship Id="rId13" Type="http://schemas.openxmlformats.org/officeDocument/2006/relationships/chart" Target="../charts/chart70.xml"/><Relationship Id="rId3" Type="http://schemas.openxmlformats.org/officeDocument/2006/relationships/image" Target="../media/image15.png"/><Relationship Id="rId7" Type="http://schemas.openxmlformats.org/officeDocument/2006/relationships/chart" Target="../charts/chart66.xml"/><Relationship Id="rId12" Type="http://schemas.openxmlformats.org/officeDocument/2006/relationships/chart" Target="../charts/chart69.xml"/><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chart" Target="../charts/chart65.xml"/><Relationship Id="rId11" Type="http://schemas.openxmlformats.org/officeDocument/2006/relationships/image" Target="../media/image19.png"/><Relationship Id="rId5" Type="http://schemas.openxmlformats.org/officeDocument/2006/relationships/image" Target="../media/image17.png"/><Relationship Id="rId10" Type="http://schemas.openxmlformats.org/officeDocument/2006/relationships/chart" Target="../charts/chart68.xml"/><Relationship Id="rId4" Type="http://schemas.openxmlformats.org/officeDocument/2006/relationships/image" Target="../media/image16.png"/><Relationship Id="rId9" Type="http://schemas.openxmlformats.org/officeDocument/2006/relationships/image" Target="../media/image18.png"/><Relationship Id="rId14" Type="http://schemas.openxmlformats.org/officeDocument/2006/relationships/chart" Target="../charts/chart7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2.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180974</xdr:rowOff>
    </xdr:from>
    <xdr:to>
      <xdr:col>10</xdr:col>
      <xdr:colOff>76200</xdr:colOff>
      <xdr:row>14</xdr:row>
      <xdr:rowOff>161925</xdr:rowOff>
    </xdr:to>
    <xdr:sp macro="" textlink="">
      <xdr:nvSpPr>
        <xdr:cNvPr id="2" name="TextBox 1"/>
        <xdr:cNvSpPr txBox="1"/>
      </xdr:nvSpPr>
      <xdr:spPr>
        <a:xfrm>
          <a:off x="0" y="371474"/>
          <a:ext cx="6172200" cy="2457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purpose of this calculator</a:t>
          </a:r>
          <a:r>
            <a:rPr lang="en-US" sz="1100" baseline="0"/>
            <a:t> is to help determine which isolated topology and IC is correct for the chossen application. The flowing topologies are: </a:t>
          </a:r>
        </a:p>
        <a:p>
          <a:r>
            <a:rPr lang="en-US" sz="1100" baseline="0"/>
            <a:t>	1)Fly-Buck </a:t>
          </a:r>
        </a:p>
        <a:p>
          <a:r>
            <a:rPr lang="en-US" sz="1100" baseline="0"/>
            <a:t>	2)Fly-Buck-Boost </a:t>
          </a:r>
        </a:p>
        <a:p>
          <a:r>
            <a:rPr lang="en-US" sz="1100" baseline="0"/>
            <a:t>	3)Flyback</a:t>
          </a:r>
        </a:p>
        <a:p>
          <a:endParaRPr lang="en-US" sz="1100" baseline="0"/>
        </a:p>
        <a:p>
          <a:r>
            <a:rPr lang="en-US" sz="1100" baseline="0"/>
            <a:t>Start at the "Designs" tab to start the design with the general input and output parameters.</a:t>
          </a:r>
        </a:p>
        <a:p>
          <a:endParaRPr lang="en-US" sz="1100" baseline="0"/>
        </a:p>
        <a:p>
          <a:r>
            <a:rPr lang="en-US" sz="1100" baseline="0"/>
            <a:t>Next move to each of the topology design tabs, "Fly-Buck","Fly-Buck-Boost", "Flyback CCM", "Flyback DCM" to do a more indepth analysis. In this step ICs will also be suggested for the application.</a:t>
          </a:r>
        </a:p>
        <a:p>
          <a:endParaRPr lang="en-US" sz="1100" baseline="0"/>
        </a:p>
        <a:p>
          <a:r>
            <a:rPr lang="en-US" sz="1100" baseline="0"/>
            <a:t>Finally return to the "Designs" tab to compare each of the designs with each other. Under the "Designs Comparisons" header is where all of these graphs are located.</a:t>
          </a:r>
        </a:p>
        <a:p>
          <a:endParaRPr lang="en-US" sz="1100" baseline="0"/>
        </a:p>
        <a:p>
          <a:r>
            <a:rPr lang="en-US" sz="1100" baseline="0">
              <a:solidFill>
                <a:schemeClr val="bg1"/>
              </a:solidFill>
            </a:rPr>
            <a:t>The "Transformer" tab allows the user to acheieve a high level transfromer design for each topology. The transformer design should be looked at more in depth once a topology is decided. </a:t>
          </a:r>
        </a:p>
      </xdr:txBody>
    </xdr:sp>
    <xdr:clientData/>
  </xdr:twoCellAnchor>
  <xdr:twoCellAnchor editAs="oneCell">
    <xdr:from>
      <xdr:col>13</xdr:col>
      <xdr:colOff>57150</xdr:colOff>
      <xdr:row>2</xdr:row>
      <xdr:rowOff>0</xdr:rowOff>
    </xdr:from>
    <xdr:to>
      <xdr:col>19</xdr:col>
      <xdr:colOff>175993</xdr:colOff>
      <xdr:row>6</xdr:row>
      <xdr:rowOff>152400</xdr:rowOff>
    </xdr:to>
    <xdr:pic>
      <xdr:nvPicPr>
        <xdr:cNvPr id="3" name="Picture 2" descr="TI_Red_space"/>
        <xdr:cNvPicPr>
          <a:picLocks noChangeAspect="1"/>
        </xdr:cNvPicPr>
      </xdr:nvPicPr>
      <xdr:blipFill>
        <a:blip xmlns:r="http://schemas.openxmlformats.org/officeDocument/2006/relationships" r:embed="rId1"/>
        <a:srcRect/>
        <a:stretch>
          <a:fillRect/>
        </a:stretch>
      </xdr:blipFill>
      <xdr:spPr bwMode="auto">
        <a:xfrm>
          <a:off x="7981950" y="381000"/>
          <a:ext cx="3776443"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107</xdr:col>
      <xdr:colOff>552450</xdr:colOff>
      <xdr:row>5</xdr:row>
      <xdr:rowOff>47625</xdr:rowOff>
    </xdr:from>
    <xdr:to>
      <xdr:col>110</xdr:col>
      <xdr:colOff>609369</xdr:colOff>
      <xdr:row>10</xdr:row>
      <xdr:rowOff>114173</xdr:rowOff>
    </xdr:to>
    <xdr:pic>
      <xdr:nvPicPr>
        <xdr:cNvPr id="2" name="Picture 1"/>
        <xdr:cNvPicPr>
          <a:picLocks noChangeAspect="1"/>
        </xdr:cNvPicPr>
      </xdr:nvPicPr>
      <xdr:blipFill>
        <a:blip xmlns:r="http://schemas.openxmlformats.org/officeDocument/2006/relationships" r:embed="rId1"/>
        <a:stretch>
          <a:fillRect/>
        </a:stretch>
      </xdr:blipFill>
      <xdr:spPr>
        <a:xfrm>
          <a:off x="69037200" y="1790700"/>
          <a:ext cx="1847619" cy="1019048"/>
        </a:xfrm>
        <a:prstGeom prst="rect">
          <a:avLst/>
        </a:prstGeom>
      </xdr:spPr>
    </xdr:pic>
    <xdr:clientData/>
  </xdr:twoCellAnchor>
  <xdr:twoCellAnchor>
    <xdr:from>
      <xdr:col>106</xdr:col>
      <xdr:colOff>571500</xdr:colOff>
      <xdr:row>59</xdr:row>
      <xdr:rowOff>171450</xdr:rowOff>
    </xdr:from>
    <xdr:to>
      <xdr:col>114</xdr:col>
      <xdr:colOff>533400</xdr:colOff>
      <xdr:row>79</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107</xdr:col>
      <xdr:colOff>0</xdr:colOff>
      <xdr:row>81</xdr:row>
      <xdr:rowOff>0</xdr:rowOff>
    </xdr:from>
    <xdr:to>
      <xdr:col>114</xdr:col>
      <xdr:colOff>571500</xdr:colOff>
      <xdr:row>104</xdr:row>
      <xdr:rowOff>38100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107</xdr:col>
      <xdr:colOff>0</xdr:colOff>
      <xdr:row>105</xdr:row>
      <xdr:rowOff>0</xdr:rowOff>
    </xdr:from>
    <xdr:to>
      <xdr:col>114</xdr:col>
      <xdr:colOff>571500</xdr:colOff>
      <xdr:row>124</xdr:row>
      <xdr:rowOff>38100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116</xdr:col>
      <xdr:colOff>0</xdr:colOff>
      <xdr:row>81</xdr:row>
      <xdr:rowOff>0</xdr:rowOff>
    </xdr:from>
    <xdr:to>
      <xdr:col>123</xdr:col>
      <xdr:colOff>533400</xdr:colOff>
      <xdr:row>104</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116</xdr:col>
      <xdr:colOff>0</xdr:colOff>
      <xdr:row>105</xdr:row>
      <xdr:rowOff>0</xdr:rowOff>
    </xdr:from>
    <xdr:to>
      <xdr:col>123</xdr:col>
      <xdr:colOff>533400</xdr:colOff>
      <xdr:row>124</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28</xdr:row>
      <xdr:rowOff>188595</xdr:rowOff>
    </xdr:from>
    <xdr:to>
      <xdr:col>4</xdr:col>
      <xdr:colOff>434544</xdr:colOff>
      <xdr:row>41</xdr:row>
      <xdr:rowOff>17337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351270"/>
          <a:ext cx="2330019" cy="2305242"/>
        </a:xfrm>
        <a:prstGeom prst="rect">
          <a:avLst/>
        </a:prstGeom>
      </xdr:spPr>
    </xdr:pic>
    <xdr:clientData/>
  </xdr:twoCellAnchor>
  <xdr:twoCellAnchor editAs="oneCell">
    <xdr:from>
      <xdr:col>8</xdr:col>
      <xdr:colOff>603885</xdr:colOff>
      <xdr:row>28</xdr:row>
      <xdr:rowOff>177165</xdr:rowOff>
    </xdr:from>
    <xdr:to>
      <xdr:col>18</xdr:col>
      <xdr:colOff>429160</xdr:colOff>
      <xdr:row>41</xdr:row>
      <xdr:rowOff>70683</xdr:rowOff>
    </xdr:to>
    <xdr:pic>
      <xdr:nvPicPr>
        <xdr:cNvPr id="3" name="Picture 2"/>
        <xdr:cNvPicPr>
          <a:picLocks noChangeAspect="1"/>
        </xdr:cNvPicPr>
      </xdr:nvPicPr>
      <xdr:blipFill>
        <a:blip xmlns:r="http://schemas.openxmlformats.org/officeDocument/2006/relationships" r:embed="rId2"/>
        <a:stretch>
          <a:fillRect/>
        </a:stretch>
      </xdr:blipFill>
      <xdr:spPr>
        <a:xfrm>
          <a:off x="5633085" y="6339840"/>
          <a:ext cx="6130825" cy="237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5</xdr:row>
      <xdr:rowOff>171450</xdr:rowOff>
    </xdr:from>
    <xdr:to>
      <xdr:col>10</xdr:col>
      <xdr:colOff>533400</xdr:colOff>
      <xdr:row>15</xdr:row>
      <xdr:rowOff>142875</xdr:rowOff>
    </xdr:to>
    <xdr:sp macro="" textlink="">
      <xdr:nvSpPr>
        <xdr:cNvPr id="2" name="TextBox 1"/>
        <xdr:cNvSpPr txBox="1"/>
      </xdr:nvSpPr>
      <xdr:spPr>
        <a:xfrm>
          <a:off x="1628775" y="112395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123825</xdr:colOff>
      <xdr:row>14</xdr:row>
      <xdr:rowOff>161925</xdr:rowOff>
    </xdr:to>
    <xdr:sp macro="" textlink="">
      <xdr:nvSpPr>
        <xdr:cNvPr id="2" name="TextBox 1"/>
        <xdr:cNvSpPr txBox="1"/>
      </xdr:nvSpPr>
      <xdr:spPr>
        <a:xfrm>
          <a:off x="1828800" y="9525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10</xdr:col>
      <xdr:colOff>123825</xdr:colOff>
      <xdr:row>13</xdr:row>
      <xdr:rowOff>161925</xdr:rowOff>
    </xdr:to>
    <xdr:sp macro="" textlink="">
      <xdr:nvSpPr>
        <xdr:cNvPr id="2" name="TextBox 1"/>
        <xdr:cNvSpPr txBox="1"/>
      </xdr:nvSpPr>
      <xdr:spPr>
        <a:xfrm>
          <a:off x="1219200" y="7620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838200</xdr:colOff>
      <xdr:row>4</xdr:row>
      <xdr:rowOff>104775</xdr:rowOff>
    </xdr:from>
    <xdr:to>
      <xdr:col>16</xdr:col>
      <xdr:colOff>376238</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90</xdr:row>
      <xdr:rowOff>0</xdr:rowOff>
    </xdr:from>
    <xdr:to>
      <xdr:col>5</xdr:col>
      <xdr:colOff>66675</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111</xdr:row>
      <xdr:rowOff>25842</xdr:rowOff>
    </xdr:from>
    <xdr:to>
      <xdr:col>21</xdr:col>
      <xdr:colOff>600075</xdr:colOff>
      <xdr:row>125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90</xdr:row>
      <xdr:rowOff>9525</xdr:rowOff>
    </xdr:from>
    <xdr:to>
      <xdr:col>21</xdr:col>
      <xdr:colOff>552450</xdr:colOff>
      <xdr:row>104</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44891</xdr:rowOff>
    </xdr:from>
    <xdr:to>
      <xdr:col>5</xdr:col>
      <xdr:colOff>57150</xdr:colOff>
      <xdr:row>125</xdr:row>
      <xdr:rowOff>168716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133350</xdr:colOff>
      <xdr:row>90</xdr:row>
      <xdr:rowOff>9525</xdr:rowOff>
    </xdr:from>
    <xdr:to>
      <xdr:col>13</xdr:col>
      <xdr:colOff>581025</xdr:colOff>
      <xdr:row>104</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133350</xdr:colOff>
      <xdr:row>111</xdr:row>
      <xdr:rowOff>36046</xdr:rowOff>
    </xdr:from>
    <xdr:to>
      <xdr:col>13</xdr:col>
      <xdr:colOff>581025</xdr:colOff>
      <xdr:row>125</xdr:row>
      <xdr:rowOff>164634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57150</xdr:rowOff>
        </xdr:from>
        <xdr:to>
          <xdr:col>9</xdr:col>
          <xdr:colOff>723900</xdr:colOff>
          <xdr:row>28</xdr:row>
          <xdr:rowOff>190500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66675</xdr:rowOff>
        </xdr:from>
        <xdr:to>
          <xdr:col>16</xdr:col>
          <xdr:colOff>419100</xdr:colOff>
          <xdr:row>29</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561975</xdr:colOff>
          <xdr:row>15</xdr:row>
          <xdr:rowOff>47625</xdr:rowOff>
        </xdr:from>
        <xdr:to>
          <xdr:col>23</xdr:col>
          <xdr:colOff>295275</xdr:colOff>
          <xdr:row>29</xdr:row>
          <xdr:rowOff>28575</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30</xdr:row>
          <xdr:rowOff>0</xdr:rowOff>
        </xdr:from>
        <xdr:to>
          <xdr:col>7</xdr:col>
          <xdr:colOff>514350</xdr:colOff>
          <xdr:row>60</xdr:row>
          <xdr:rowOff>9525</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xdr:twoCellAnchor>
    <xdr:from>
      <xdr:col>6</xdr:col>
      <xdr:colOff>32658</xdr:colOff>
      <xdr:row>73</xdr:row>
      <xdr:rowOff>185738</xdr:rowOff>
    </xdr:from>
    <xdr:to>
      <xdr:col>13</xdr:col>
      <xdr:colOff>23133</xdr:colOff>
      <xdr:row>84</xdr:row>
      <xdr:rowOff>28576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114300</xdr:rowOff>
    </xdr:from>
    <xdr:to>
      <xdr:col>5</xdr:col>
      <xdr:colOff>66675</xdr:colOff>
      <xdr:row>110</xdr:row>
      <xdr:rowOff>9525</xdr:rowOff>
    </xdr:to>
    <xdr:sp macro="" textlink="">
      <xdr:nvSpPr>
        <xdr:cNvPr id="7" name="TextBox 6"/>
        <xdr:cNvSpPr txBox="1"/>
      </xdr:nvSpPr>
      <xdr:spPr>
        <a:xfrm>
          <a:off x="9525" y="21193125"/>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the selected</a:t>
          </a:r>
          <a:r>
            <a:rPr lang="en-US" sz="1100" baseline="0"/>
            <a:t> turns ratio (Secondary  to Primary) turns ratio for each topology. Note that both the CCM and DCM flyback topologies use the same turns ratio. The larger the ratio the more turns that will be needed in the transformer  increasing the size and copper losses. </a:t>
          </a:r>
          <a:endParaRPr lang="en-US" sz="1100"/>
        </a:p>
      </xdr:txBody>
    </xdr:sp>
    <xdr:clientData/>
  </xdr:twoCellAnchor>
  <xdr:twoCellAnchor>
    <xdr:from>
      <xdr:col>5</xdr:col>
      <xdr:colOff>133350</xdr:colOff>
      <xdr:row>104</xdr:row>
      <xdr:rowOff>123825</xdr:rowOff>
    </xdr:from>
    <xdr:to>
      <xdr:col>13</xdr:col>
      <xdr:colOff>581025</xdr:colOff>
      <xdr:row>110</xdr:row>
      <xdr:rowOff>19050</xdr:rowOff>
    </xdr:to>
    <xdr:sp macro="" textlink="">
      <xdr:nvSpPr>
        <xdr:cNvPr id="14" name="TextBox 13"/>
        <xdr:cNvSpPr txBox="1"/>
      </xdr:nvSpPr>
      <xdr:spPr>
        <a:xfrm>
          <a:off x="5248275" y="2120265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average</a:t>
          </a:r>
          <a:r>
            <a:rPr lang="en-US" sz="1100" baseline="0"/>
            <a:t> input current for full load across VIN. This will change with the amount of output power required.</a:t>
          </a:r>
          <a:endParaRPr lang="en-US" sz="1100"/>
        </a:p>
      </xdr:txBody>
    </xdr:sp>
    <xdr:clientData/>
  </xdr:twoCellAnchor>
  <xdr:twoCellAnchor>
    <xdr:from>
      <xdr:col>13</xdr:col>
      <xdr:colOff>647700</xdr:colOff>
      <xdr:row>104</xdr:row>
      <xdr:rowOff>142875</xdr:rowOff>
    </xdr:from>
    <xdr:to>
      <xdr:col>21</xdr:col>
      <xdr:colOff>561975</xdr:colOff>
      <xdr:row>110</xdr:row>
      <xdr:rowOff>38100</xdr:rowOff>
    </xdr:to>
    <xdr:sp macro="" textlink="">
      <xdr:nvSpPr>
        <xdr:cNvPr id="15" name="TextBox 14"/>
        <xdr:cNvSpPr txBox="1"/>
      </xdr:nvSpPr>
      <xdr:spPr>
        <a:xfrm>
          <a:off x="10487025" y="2122170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primary RMS current is a good indicator of the amount of losses that will happen in the transformer. The higher RMS current the more important the transformer design is to minimize losses.</a:t>
          </a:r>
          <a:endParaRPr lang="en-US" sz="1100"/>
        </a:p>
      </xdr:txBody>
    </xdr:sp>
    <xdr:clientData/>
  </xdr:twoCellAnchor>
  <xdr:twoCellAnchor>
    <xdr:from>
      <xdr:col>0</xdr:col>
      <xdr:colOff>0</xdr:colOff>
      <xdr:row>125</xdr:row>
      <xdr:rowOff>161925</xdr:rowOff>
    </xdr:from>
    <xdr:to>
      <xdr:col>5</xdr:col>
      <xdr:colOff>57150</xdr:colOff>
      <xdr:row>131</xdr:row>
      <xdr:rowOff>161925</xdr:rowOff>
    </xdr:to>
    <xdr:sp macro="" textlink="">
      <xdr:nvSpPr>
        <xdr:cNvPr id="16" name="TextBox 15"/>
        <xdr:cNvSpPr txBox="1"/>
      </xdr:nvSpPr>
      <xdr:spPr>
        <a:xfrm>
          <a:off x="0" y="25241250"/>
          <a:ext cx="51720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maximum duty cycle should be around 50%. This is helps with the Fly-Buck and Fly-Buck-Boost regulation. This allows for a better output regulation.  In the Flyback CCM operation at 50% and below the controller compnesation becomes simpler because the right hand plan zero is a high frequency minizing its effect on the circuit. Note the Flyback and Fly-Buck-Boost topologies follow the same duty cycle curve as a buck-boost, while the Fly-Buck follows a simple buck converter </a:t>
          </a:r>
          <a:endParaRPr lang="en-US" sz="1100"/>
        </a:p>
      </xdr:txBody>
    </xdr:sp>
    <xdr:clientData/>
  </xdr:twoCellAnchor>
  <xdr:twoCellAnchor>
    <xdr:from>
      <xdr:col>5</xdr:col>
      <xdr:colOff>123825</xdr:colOff>
      <xdr:row>125</xdr:row>
      <xdr:rowOff>161925</xdr:rowOff>
    </xdr:from>
    <xdr:to>
      <xdr:col>13</xdr:col>
      <xdr:colOff>571500</xdr:colOff>
      <xdr:row>131</xdr:row>
      <xdr:rowOff>152400</xdr:rowOff>
    </xdr:to>
    <xdr:sp macro="" textlink="">
      <xdr:nvSpPr>
        <xdr:cNvPr id="17" name="TextBox 16"/>
        <xdr:cNvSpPr txBox="1"/>
      </xdr:nvSpPr>
      <xdr:spPr>
        <a:xfrm>
          <a:off x="5238750" y="25241250"/>
          <a:ext cx="51720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Efficency</a:t>
          </a:r>
          <a:r>
            <a:rPr lang="en-US" sz="1100" baseline="0"/>
            <a:t> is largely impacated by transformer design. In a Flyback the leakage inductance energy must be dispated by a clamp circuit decreasing the efficiency as compared to the Fly-Buck and the Fly-Buck-Boost which don't need a clamp.</a:t>
          </a:r>
          <a:endParaRPr lang="en-US" sz="1100"/>
        </a:p>
      </xdr:txBody>
    </xdr:sp>
    <xdr:clientData/>
  </xdr:twoCellAnchor>
  <xdr:twoCellAnchor>
    <xdr:from>
      <xdr:col>13</xdr:col>
      <xdr:colOff>695325</xdr:colOff>
      <xdr:row>125</xdr:row>
      <xdr:rowOff>152400</xdr:rowOff>
    </xdr:from>
    <xdr:to>
      <xdr:col>22</xdr:col>
      <xdr:colOff>0</xdr:colOff>
      <xdr:row>131</xdr:row>
      <xdr:rowOff>161925</xdr:rowOff>
    </xdr:to>
    <xdr:sp macro="" textlink="">
      <xdr:nvSpPr>
        <xdr:cNvPr id="18" name="TextBox 17"/>
        <xdr:cNvSpPr txBox="1"/>
      </xdr:nvSpPr>
      <xdr:spPr>
        <a:xfrm>
          <a:off x="10534650" y="25231725"/>
          <a:ext cx="5172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peak primary current most be taken into account when designing any of the topologies. In the Fly-Buck and Fly-Buck-Boost special care must be taken to not operate in current limit of the regulators. The Flyback DCM has constant peak current across VIN because all energy is transfered from the primary to the secondary outputs. for the flyback topologies the peak current will be higher than this if leakage inductance is not minimized during the transfromer design. Lowering turns ratio will decrease peak value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180975</xdr:rowOff>
    </xdr:from>
    <xdr:to>
      <xdr:col>6</xdr:col>
      <xdr:colOff>198664</xdr:colOff>
      <xdr:row>55</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332014</xdr:colOff>
      <xdr:row>40</xdr:row>
      <xdr:rowOff>172811</xdr:rowOff>
    </xdr:from>
    <xdr:to>
      <xdr:col>12</xdr:col>
      <xdr:colOff>381000</xdr:colOff>
      <xdr:row>55</xdr:row>
      <xdr:rowOff>58511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518432</xdr:colOff>
      <xdr:row>40</xdr:row>
      <xdr:rowOff>176892</xdr:rowOff>
    </xdr:from>
    <xdr:to>
      <xdr:col>21</xdr:col>
      <xdr:colOff>36739</xdr:colOff>
      <xdr:row>55</xdr:row>
      <xdr:rowOff>62592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489802</xdr:colOff>
      <xdr:row>63</xdr:row>
      <xdr:rowOff>4078</xdr:rowOff>
    </xdr:from>
    <xdr:to>
      <xdr:col>21</xdr:col>
      <xdr:colOff>8109</xdr:colOff>
      <xdr:row>77</xdr:row>
      <xdr:rowOff>80278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312910</xdr:colOff>
      <xdr:row>62</xdr:row>
      <xdr:rowOff>185053</xdr:rowOff>
    </xdr:from>
    <xdr:to>
      <xdr:col>12</xdr:col>
      <xdr:colOff>361896</xdr:colOff>
      <xdr:row>77</xdr:row>
      <xdr:rowOff>70753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600074</xdr:colOff>
      <xdr:row>94</xdr:row>
      <xdr:rowOff>185736</xdr:rowOff>
    </xdr:from>
    <xdr:to>
      <xdr:col>10</xdr:col>
      <xdr:colOff>495300</xdr:colOff>
      <xdr:row>113</xdr:row>
      <xdr:rowOff>9524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590550</xdr:colOff>
          <xdr:row>11</xdr:row>
          <xdr:rowOff>171450</xdr:rowOff>
        </xdr:to>
        <xdr:sp macro="" textlink="">
          <xdr:nvSpPr>
            <xdr:cNvPr id="29706" name="Object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xdr:twoCellAnchor>
    <xdr:from>
      <xdr:col>9</xdr:col>
      <xdr:colOff>600075</xdr:colOff>
      <xdr:row>122</xdr:row>
      <xdr:rowOff>68916</xdr:rowOff>
    </xdr:from>
    <xdr:to>
      <xdr:col>16</xdr:col>
      <xdr:colOff>19050</xdr:colOff>
      <xdr:row>134</xdr:row>
      <xdr:rowOff>99172</xdr:rowOff>
    </xdr:to>
    <xdr:sp macro="" textlink="">
      <xdr:nvSpPr>
        <xdr:cNvPr id="9" name="TextBox 8"/>
        <xdr:cNvSpPr txBox="1"/>
      </xdr:nvSpPr>
      <xdr:spPr>
        <a:xfrm>
          <a:off x="7233957" y="23825387"/>
          <a:ext cx="4965887" cy="2349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 for makes the modeling easier than if a current mode controller was used.</a:t>
          </a:r>
          <a:endParaRPr lang="en-US" sz="1200"/>
        </a:p>
      </xdr:txBody>
    </xdr:sp>
    <xdr:clientData/>
  </xdr:twoCellAnchor>
  <xdr:twoCellAnchor>
    <xdr:from>
      <xdr:col>3</xdr:col>
      <xdr:colOff>417819</xdr:colOff>
      <xdr:row>83</xdr:row>
      <xdr:rowOff>188019</xdr:rowOff>
    </xdr:from>
    <xdr:to>
      <xdr:col>10</xdr:col>
      <xdr:colOff>319847</xdr:colOff>
      <xdr:row>92</xdr:row>
      <xdr:rowOff>29176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219075</xdr:colOff>
          <xdr:row>122</xdr:row>
          <xdr:rowOff>0</xdr:rowOff>
        </xdr:from>
        <xdr:to>
          <xdr:col>9</xdr:col>
          <xdr:colOff>171450</xdr:colOff>
          <xdr:row>133</xdr:row>
          <xdr:rowOff>142875</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xdr:twoCellAnchor>
    <xdr:from>
      <xdr:col>9</xdr:col>
      <xdr:colOff>1865220</xdr:colOff>
      <xdr:row>12</xdr:row>
      <xdr:rowOff>34178</xdr:rowOff>
    </xdr:from>
    <xdr:to>
      <xdr:col>19</xdr:col>
      <xdr:colOff>347383</xdr:colOff>
      <xdr:row>19</xdr:row>
      <xdr:rowOff>119903</xdr:rowOff>
    </xdr:to>
    <xdr:sp macro="" textlink="">
      <xdr:nvSpPr>
        <xdr:cNvPr id="10" name="TextBox 9"/>
        <xdr:cNvSpPr txBox="1"/>
      </xdr:nvSpPr>
      <xdr:spPr>
        <a:xfrm>
          <a:off x="8499102" y="2409825"/>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synchronuous buck must be used. This due to possilbe negative current through the sync  FET during the off time at light load. If the negative current is not able to flow the  regulation of the secondary outputs  will be reduced.</a:t>
          </a:r>
        </a:p>
        <a:p>
          <a:pPr algn="l"/>
          <a:endParaRPr lang="en-US" sz="1200" baseline="0"/>
        </a:p>
        <a:p>
          <a:pPr algn="l"/>
          <a:endParaRPr lang="en-US" sz="1100"/>
        </a:p>
      </xdr:txBody>
    </xdr:sp>
    <xdr:clientData/>
  </xdr:twoCellAnchor>
  <xdr:twoCellAnchor>
    <xdr:from>
      <xdr:col>0</xdr:col>
      <xdr:colOff>0</xdr:colOff>
      <xdr:row>63</xdr:row>
      <xdr:rowOff>0</xdr:rowOff>
    </xdr:from>
    <xdr:to>
      <xdr:col>6</xdr:col>
      <xdr:colOff>198664</xdr:colOff>
      <xdr:row>77</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68036</xdr:rowOff>
    </xdr:from>
    <xdr:to>
      <xdr:col>6</xdr:col>
      <xdr:colOff>198664</xdr:colOff>
      <xdr:row>60</xdr:row>
      <xdr:rowOff>29936</xdr:rowOff>
    </xdr:to>
    <xdr:sp macro="" textlink="">
      <xdr:nvSpPr>
        <xdr:cNvPr id="2" name="TextBox 1"/>
        <xdr:cNvSpPr txBox="1"/>
      </xdr:nvSpPr>
      <xdr:spPr>
        <a:xfrm>
          <a:off x="0" y="1077685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326571</xdr:colOff>
      <xdr:row>55</xdr:row>
      <xdr:rowOff>54429</xdr:rowOff>
    </xdr:from>
    <xdr:to>
      <xdr:col>12</xdr:col>
      <xdr:colOff>375557</xdr:colOff>
      <xdr:row>60</xdr:row>
      <xdr:rowOff>16329</xdr:rowOff>
    </xdr:to>
    <xdr:sp macro="" textlink="">
      <xdr:nvSpPr>
        <xdr:cNvPr id="15" name="TextBox 14"/>
        <xdr:cNvSpPr txBox="1"/>
      </xdr:nvSpPr>
      <xdr:spPr>
        <a:xfrm>
          <a:off x="5157107"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517071</xdr:colOff>
      <xdr:row>55</xdr:row>
      <xdr:rowOff>54429</xdr:rowOff>
    </xdr:from>
    <xdr:to>
      <xdr:col>21</xdr:col>
      <xdr:colOff>35378</xdr:colOff>
      <xdr:row>60</xdr:row>
      <xdr:rowOff>16329</xdr:rowOff>
    </xdr:to>
    <xdr:sp macro="" textlink="">
      <xdr:nvSpPr>
        <xdr:cNvPr id="16" name="TextBox 15"/>
        <xdr:cNvSpPr txBox="1"/>
      </xdr:nvSpPr>
      <xdr:spPr>
        <a:xfrm>
          <a:off x="10327821"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77</xdr:row>
      <xdr:rowOff>81643</xdr:rowOff>
    </xdr:from>
    <xdr:to>
      <xdr:col>6</xdr:col>
      <xdr:colOff>198664</xdr:colOff>
      <xdr:row>82</xdr:row>
      <xdr:rowOff>43543</xdr:rowOff>
    </xdr:to>
    <xdr:sp macro="" textlink="">
      <xdr:nvSpPr>
        <xdr:cNvPr id="17" name="TextBox 16"/>
        <xdr:cNvSpPr txBox="1"/>
      </xdr:nvSpPr>
      <xdr:spPr>
        <a:xfrm>
          <a:off x="0" y="1498146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312964</xdr:colOff>
      <xdr:row>77</xdr:row>
      <xdr:rowOff>68037</xdr:rowOff>
    </xdr:from>
    <xdr:to>
      <xdr:col>12</xdr:col>
      <xdr:colOff>361950</xdr:colOff>
      <xdr:row>82</xdr:row>
      <xdr:rowOff>29937</xdr:rowOff>
    </xdr:to>
    <xdr:sp macro="" textlink="">
      <xdr:nvSpPr>
        <xdr:cNvPr id="18" name="TextBox 17"/>
        <xdr:cNvSpPr txBox="1"/>
      </xdr:nvSpPr>
      <xdr:spPr>
        <a:xfrm>
          <a:off x="5143500"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489857</xdr:colOff>
      <xdr:row>77</xdr:row>
      <xdr:rowOff>68037</xdr:rowOff>
    </xdr:from>
    <xdr:to>
      <xdr:col>21</xdr:col>
      <xdr:colOff>8164</xdr:colOff>
      <xdr:row>82</xdr:row>
      <xdr:rowOff>29937</xdr:rowOff>
    </xdr:to>
    <xdr:sp macro="" textlink="">
      <xdr:nvSpPr>
        <xdr:cNvPr id="19" name="TextBox 18"/>
        <xdr:cNvSpPr txBox="1"/>
      </xdr:nvSpPr>
      <xdr:spPr>
        <a:xfrm>
          <a:off x="10300607"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sdaf</a:t>
          </a:r>
        </a:p>
      </xdr:txBody>
    </xdr:sp>
    <xdr:clientData/>
  </xdr:twoCellAnchor>
  <xdr:twoCellAnchor>
    <xdr:from>
      <xdr:col>3</xdr:col>
      <xdr:colOff>217714</xdr:colOff>
      <xdr:row>21</xdr:row>
      <xdr:rowOff>159202</xdr:rowOff>
    </xdr:from>
    <xdr:to>
      <xdr:col>9</xdr:col>
      <xdr:colOff>1823356</xdr:colOff>
      <xdr:row>37</xdr:row>
      <xdr:rowOff>27214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4</xdr:col>
          <xdr:colOff>485775</xdr:colOff>
          <xdr:row>12</xdr:row>
          <xdr:rowOff>28575</xdr:rowOff>
        </xdr:to>
        <xdr:sp macro="" textlink="">
          <xdr:nvSpPr>
            <xdr:cNvPr id="32772" name="Object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xdr:twoCellAnchor>
    <xdr:from>
      <xdr:col>4</xdr:col>
      <xdr:colOff>0</xdr:colOff>
      <xdr:row>81</xdr:row>
      <xdr:rowOff>0</xdr:rowOff>
    </xdr:from>
    <xdr:to>
      <xdr:col>13</xdr:col>
      <xdr:colOff>0</xdr:colOff>
      <xdr:row>89</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90</xdr:row>
      <xdr:rowOff>0</xdr:rowOff>
    </xdr:from>
    <xdr:to>
      <xdr:col>12</xdr:col>
      <xdr:colOff>600076</xdr:colOff>
      <xdr:row>108</xdr:row>
      <xdr:rowOff>23813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39</xdr:row>
      <xdr:rowOff>0</xdr:rowOff>
    </xdr:from>
    <xdr:to>
      <xdr:col>6</xdr:col>
      <xdr:colOff>457200</xdr:colOff>
      <xdr:row>53</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570139</xdr:colOff>
      <xdr:row>39</xdr:row>
      <xdr:rowOff>9525</xdr:rowOff>
    </xdr:from>
    <xdr:to>
      <xdr:col>15</xdr:col>
      <xdr:colOff>102053</xdr:colOff>
      <xdr:row>53</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255814</xdr:colOff>
      <xdr:row>39</xdr:row>
      <xdr:rowOff>27214</xdr:rowOff>
    </xdr:from>
    <xdr:to>
      <xdr:col>23</xdr:col>
      <xdr:colOff>386443</xdr:colOff>
      <xdr:row>53</xdr:row>
      <xdr:rowOff>103414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229907</xdr:colOff>
      <xdr:row>59</xdr:row>
      <xdr:rowOff>77560</xdr:rowOff>
    </xdr:from>
    <xdr:to>
      <xdr:col>23</xdr:col>
      <xdr:colOff>360536</xdr:colOff>
      <xdr:row>73</xdr:row>
      <xdr:rowOff>153760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571446</xdr:colOff>
      <xdr:row>59</xdr:row>
      <xdr:rowOff>68035</xdr:rowOff>
    </xdr:from>
    <xdr:to>
      <xdr:col>15</xdr:col>
      <xdr:colOff>103360</xdr:colOff>
      <xdr:row>73</xdr:row>
      <xdr:rowOff>144235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400050</xdr:colOff>
          <xdr:row>116</xdr:row>
          <xdr:rowOff>190500</xdr:rowOff>
        </xdr:from>
        <xdr:to>
          <xdr:col>8</xdr:col>
          <xdr:colOff>219075</xdr:colOff>
          <xdr:row>126</xdr:row>
          <xdr:rowOff>95250</xdr:rowOff>
        </xdr:to>
        <xdr:sp macro="" textlink="">
          <xdr:nvSpPr>
            <xdr:cNvPr id="32773" name="Object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xdr:twoCellAnchor>
    <xdr:from>
      <xdr:col>3</xdr:col>
      <xdr:colOff>231320</xdr:colOff>
      <xdr:row>21</xdr:row>
      <xdr:rowOff>163285</xdr:rowOff>
    </xdr:from>
    <xdr:to>
      <xdr:col>12</xdr:col>
      <xdr:colOff>13606</xdr:colOff>
      <xdr:row>37</xdr:row>
      <xdr:rowOff>31297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53</xdr:row>
      <xdr:rowOff>81642</xdr:rowOff>
    </xdr:from>
    <xdr:to>
      <xdr:col>6</xdr:col>
      <xdr:colOff>457200</xdr:colOff>
      <xdr:row>58</xdr:row>
      <xdr:rowOff>43542</xdr:rowOff>
    </xdr:to>
    <xdr:sp macro="" textlink="">
      <xdr:nvSpPr>
        <xdr:cNvPr id="14" name="TextBox 13"/>
        <xdr:cNvSpPr txBox="1"/>
      </xdr:nvSpPr>
      <xdr:spPr>
        <a:xfrm>
          <a:off x="0" y="1043667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53</xdr:row>
      <xdr:rowOff>68034</xdr:rowOff>
    </xdr:from>
    <xdr:to>
      <xdr:col>15</xdr:col>
      <xdr:colOff>103414</xdr:colOff>
      <xdr:row>58</xdr:row>
      <xdr:rowOff>29934</xdr:rowOff>
    </xdr:to>
    <xdr:sp macro="" textlink="">
      <xdr:nvSpPr>
        <xdr:cNvPr id="15" name="TextBox 14"/>
        <xdr:cNvSpPr txBox="1"/>
      </xdr:nvSpPr>
      <xdr:spPr>
        <a:xfrm>
          <a:off x="5143500" y="1042307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244928</xdr:colOff>
      <xdr:row>53</xdr:row>
      <xdr:rowOff>95248</xdr:rowOff>
    </xdr:from>
    <xdr:to>
      <xdr:col>23</xdr:col>
      <xdr:colOff>375557</xdr:colOff>
      <xdr:row>58</xdr:row>
      <xdr:rowOff>57148</xdr:rowOff>
    </xdr:to>
    <xdr:sp macro="" textlink="">
      <xdr:nvSpPr>
        <xdr:cNvPr id="16" name="TextBox 15"/>
        <xdr:cNvSpPr txBox="1"/>
      </xdr:nvSpPr>
      <xdr:spPr>
        <a:xfrm>
          <a:off x="10314214" y="1045028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59</xdr:row>
      <xdr:rowOff>54428</xdr:rowOff>
    </xdr:from>
    <xdr:to>
      <xdr:col>6</xdr:col>
      <xdr:colOff>457200</xdr:colOff>
      <xdr:row>73</xdr:row>
      <xdr:rowOff>130628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73</xdr:row>
      <xdr:rowOff>136071</xdr:rowOff>
    </xdr:from>
    <xdr:to>
      <xdr:col>6</xdr:col>
      <xdr:colOff>457200</xdr:colOff>
      <xdr:row>78</xdr:row>
      <xdr:rowOff>97971</xdr:rowOff>
    </xdr:to>
    <xdr:sp macro="" textlink="">
      <xdr:nvSpPr>
        <xdr:cNvPr id="18" name="TextBox 17"/>
        <xdr:cNvSpPr txBox="1"/>
      </xdr:nvSpPr>
      <xdr:spPr>
        <a:xfrm>
          <a:off x="0" y="1430110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73</xdr:row>
      <xdr:rowOff>149679</xdr:rowOff>
    </xdr:from>
    <xdr:to>
      <xdr:col>15</xdr:col>
      <xdr:colOff>103414</xdr:colOff>
      <xdr:row>78</xdr:row>
      <xdr:rowOff>111579</xdr:rowOff>
    </xdr:to>
    <xdr:sp macro="" textlink="">
      <xdr:nvSpPr>
        <xdr:cNvPr id="19" name="TextBox 18"/>
        <xdr:cNvSpPr txBox="1"/>
      </xdr:nvSpPr>
      <xdr:spPr>
        <a:xfrm>
          <a:off x="5143500"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231321</xdr:colOff>
      <xdr:row>73</xdr:row>
      <xdr:rowOff>149679</xdr:rowOff>
    </xdr:from>
    <xdr:to>
      <xdr:col>23</xdr:col>
      <xdr:colOff>361950</xdr:colOff>
      <xdr:row>78</xdr:row>
      <xdr:rowOff>111579</xdr:rowOff>
    </xdr:to>
    <xdr:sp macro="" textlink="">
      <xdr:nvSpPr>
        <xdr:cNvPr id="20" name="TextBox 19"/>
        <xdr:cNvSpPr txBox="1"/>
      </xdr:nvSpPr>
      <xdr:spPr>
        <a:xfrm>
          <a:off x="10300607"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0</xdr:colOff>
      <xdr:row>10</xdr:row>
      <xdr:rowOff>0</xdr:rowOff>
    </xdr:from>
    <xdr:to>
      <xdr:col>22</xdr:col>
      <xdr:colOff>398369</xdr:colOff>
      <xdr:row>17</xdr:row>
      <xdr:rowOff>74519</xdr:rowOff>
    </xdr:to>
    <xdr:sp macro="" textlink="">
      <xdr:nvSpPr>
        <xdr:cNvPr id="21" name="TextBox 20"/>
        <xdr:cNvSpPr txBox="1"/>
      </xdr:nvSpPr>
      <xdr:spPr>
        <a:xfrm>
          <a:off x="8785412" y="1994647"/>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synchronuous buck must be used. This due to possilbe negative current through the sync  FET during the off time at light load. If the negative current is not able to flow the  regulation of the secondary outputs  will be reduced.</a:t>
          </a:r>
          <a:endParaRPr lang="en-US" sz="1100"/>
        </a:p>
      </xdr:txBody>
    </xdr:sp>
    <xdr:clientData/>
  </xdr:twoCellAnchor>
  <xdr:twoCellAnchor>
    <xdr:from>
      <xdr:col>9</xdr:col>
      <xdr:colOff>11206</xdr:colOff>
      <xdr:row>116</xdr:row>
      <xdr:rowOff>168089</xdr:rowOff>
    </xdr:from>
    <xdr:to>
      <xdr:col>17</xdr:col>
      <xdr:colOff>136152</xdr:colOff>
      <xdr:row>129</xdr:row>
      <xdr:rowOff>52668</xdr:rowOff>
    </xdr:to>
    <xdr:sp macro="" textlink="">
      <xdr:nvSpPr>
        <xdr:cNvPr id="22" name="TextBox 21"/>
        <xdr:cNvSpPr txBox="1"/>
      </xdr:nvSpPr>
      <xdr:spPr>
        <a:xfrm>
          <a:off x="6376147" y="22624677"/>
          <a:ext cx="4965887" cy="24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 for makes the modeling easier than if a current mode controller was used.</a:t>
          </a:r>
          <a:endParaRPr lang="en-US"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85</xdr:row>
      <xdr:rowOff>180974</xdr:rowOff>
    </xdr:from>
    <xdr:to>
      <xdr:col>5</xdr:col>
      <xdr:colOff>476250</xdr:colOff>
      <xdr:row>100</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85</xdr:row>
      <xdr:rowOff>180974</xdr:rowOff>
    </xdr:from>
    <xdr:to>
      <xdr:col>13</xdr:col>
      <xdr:colOff>345701</xdr:colOff>
      <xdr:row>100</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85</xdr:row>
      <xdr:rowOff>190499</xdr:rowOff>
    </xdr:from>
    <xdr:to>
      <xdr:col>21</xdr:col>
      <xdr:colOff>345701</xdr:colOff>
      <xdr:row>100</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161</xdr:row>
      <xdr:rowOff>123826</xdr:rowOff>
    </xdr:from>
    <xdr:to>
      <xdr:col>7</xdr:col>
      <xdr:colOff>19050</xdr:colOff>
      <xdr:row>177</xdr:row>
      <xdr:rowOff>104776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213</xdr:row>
      <xdr:rowOff>180975</xdr:rowOff>
    </xdr:from>
    <xdr:to>
      <xdr:col>6</xdr:col>
      <xdr:colOff>600075</xdr:colOff>
      <xdr:row>229</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248</xdr:row>
      <xdr:rowOff>180975</xdr:rowOff>
    </xdr:from>
    <xdr:to>
      <xdr:col>6</xdr:col>
      <xdr:colOff>600075</xdr:colOff>
      <xdr:row>264</xdr:row>
      <xdr:rowOff>161925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41</xdr:row>
      <xdr:rowOff>14286</xdr:rowOff>
    </xdr:from>
    <xdr:to>
      <xdr:col>6</xdr:col>
      <xdr:colOff>303438</xdr:colOff>
      <xdr:row>55</xdr:row>
      <xdr:rowOff>90486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444953</xdr:colOff>
      <xdr:row>41</xdr:row>
      <xdr:rowOff>13606</xdr:rowOff>
    </xdr:from>
    <xdr:to>
      <xdr:col>14</xdr:col>
      <xdr:colOff>575582</xdr:colOff>
      <xdr:row>55</xdr:row>
      <xdr:rowOff>89806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108856</xdr:colOff>
      <xdr:row>41</xdr:row>
      <xdr:rowOff>23131</xdr:rowOff>
    </xdr:from>
    <xdr:to>
      <xdr:col>23</xdr:col>
      <xdr:colOff>239485</xdr:colOff>
      <xdr:row>55</xdr:row>
      <xdr:rowOff>99331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590550</xdr:colOff>
      <xdr:row>214</xdr:row>
      <xdr:rowOff>0</xdr:rowOff>
    </xdr:from>
    <xdr:to>
      <xdr:col>16</xdr:col>
      <xdr:colOff>419100</xdr:colOff>
      <xdr:row>230</xdr:row>
      <xdr:rowOff>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9525</xdr:colOff>
      <xdr:row>249</xdr:row>
      <xdr:rowOff>9525</xdr:rowOff>
    </xdr:from>
    <xdr:to>
      <xdr:col>16</xdr:col>
      <xdr:colOff>447675</xdr:colOff>
      <xdr:row>264</xdr:row>
      <xdr:rowOff>161925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108</xdr:row>
      <xdr:rowOff>4762</xdr:rowOff>
    </xdr:from>
    <xdr:to>
      <xdr:col>13</xdr:col>
      <xdr:colOff>304800</xdr:colOff>
      <xdr:row>122</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4</xdr:col>
          <xdr:colOff>190500</xdr:colOff>
          <xdr:row>12</xdr:row>
          <xdr:rowOff>28575</xdr:rowOff>
        </xdr:to>
        <xdr:sp macro="" textlink="">
          <xdr:nvSpPr>
            <xdr:cNvPr id="30744" name="Object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189</xdr:row>
          <xdr:rowOff>171450</xdr:rowOff>
        </xdr:from>
        <xdr:to>
          <xdr:col>10</xdr:col>
          <xdr:colOff>238125</xdr:colOff>
          <xdr:row>200</xdr:row>
          <xdr:rowOff>19050</xdr:rowOff>
        </xdr:to>
        <xdr:sp macro="" textlink="">
          <xdr:nvSpPr>
            <xdr:cNvPr id="30746" name="Object 26" hidden="1">
              <a:extLst>
                <a:ext uri="{63B3BB69-23CF-44E3-9099-C40C66FF867C}">
                  <a14:compatExt spid="_x0000_s30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600075</xdr:colOff>
          <xdr:row>234</xdr:row>
          <xdr:rowOff>190500</xdr:rowOff>
        </xdr:from>
        <xdr:to>
          <xdr:col>8</xdr:col>
          <xdr:colOff>19050</xdr:colOff>
          <xdr:row>243</xdr:row>
          <xdr:rowOff>19050</xdr:rowOff>
        </xdr:to>
        <xdr:sp macro="" textlink="">
          <xdr:nvSpPr>
            <xdr:cNvPr id="30747" name="Object 27" hidden="1">
              <a:extLst>
                <a:ext uri="{63B3BB69-23CF-44E3-9099-C40C66FF867C}">
                  <a14:compatExt spid="_x0000_s30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69</xdr:row>
          <xdr:rowOff>180975</xdr:rowOff>
        </xdr:from>
        <xdr:to>
          <xdr:col>10</xdr:col>
          <xdr:colOff>0</xdr:colOff>
          <xdr:row>84</xdr:row>
          <xdr:rowOff>180975</xdr:rowOff>
        </xdr:to>
        <xdr:sp macro="" textlink="">
          <xdr:nvSpPr>
            <xdr:cNvPr id="30748" name="Object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xdr:twoCellAnchor>
    <xdr:from>
      <xdr:col>0</xdr:col>
      <xdr:colOff>0</xdr:colOff>
      <xdr:row>107</xdr:row>
      <xdr:rowOff>180975</xdr:rowOff>
    </xdr:from>
    <xdr:to>
      <xdr:col>5</xdr:col>
      <xdr:colOff>466725</xdr:colOff>
      <xdr:row>122</xdr:row>
      <xdr:rowOff>138113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133</xdr:row>
      <xdr:rowOff>176211</xdr:rowOff>
    </xdr:from>
    <xdr:to>
      <xdr:col>13</xdr:col>
      <xdr:colOff>0</xdr:colOff>
      <xdr:row>149</xdr:row>
      <xdr:rowOff>19050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609599</xdr:colOff>
      <xdr:row>123</xdr:row>
      <xdr:rowOff>195262</xdr:rowOff>
    </xdr:from>
    <xdr:to>
      <xdr:col>12</xdr:col>
      <xdr:colOff>600074</xdr:colOff>
      <xdr:row>132</xdr:row>
      <xdr:rowOff>38100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600073</xdr:colOff>
      <xdr:row>123</xdr:row>
      <xdr:rowOff>190499</xdr:rowOff>
    </xdr:from>
    <xdr:to>
      <xdr:col>22</xdr:col>
      <xdr:colOff>28574</xdr:colOff>
      <xdr:row>132</xdr:row>
      <xdr:rowOff>38099</xdr:rowOff>
    </xdr:to>
    <mc:AlternateContent xmlns:mc="http://schemas.openxmlformats.org/markup-compatibility/2006" xmlns:a14="http://schemas.microsoft.com/office/drawing/2010/main">
      <mc:Choice Requires="a14">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refelected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refelected reflected to the secondary plus the output voltage.</a:t>
              </a:r>
            </a:p>
            <a:p>
              <a:endParaRPr lang="en-US" sz="1100" baseline="0"/>
            </a:p>
            <a:p>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3</xdr:col>
      <xdr:colOff>95250</xdr:colOff>
      <xdr:row>23</xdr:row>
      <xdr:rowOff>149679</xdr:rowOff>
    </xdr:from>
    <xdr:to>
      <xdr:col>11</xdr:col>
      <xdr:colOff>498021</xdr:colOff>
      <xdr:row>39</xdr:row>
      <xdr:rowOff>34019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27214</xdr:colOff>
      <xdr:row>55</xdr:row>
      <xdr:rowOff>68036</xdr:rowOff>
    </xdr:from>
    <xdr:to>
      <xdr:col>6</xdr:col>
      <xdr:colOff>299357</xdr:colOff>
      <xdr:row>62</xdr:row>
      <xdr:rowOff>182218</xdr:rowOff>
    </xdr:to>
    <mc:AlternateContent xmlns:mc="http://schemas.openxmlformats.org/markup-compatibility/2006" xmlns:a14="http://schemas.microsoft.com/office/drawing/2010/main">
      <mc:Choice Requires="a14">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that off a simple buck-boost converter with an added turns ratio term. It is also desireable to keep the duty cycle below 50% to ease controller compensation design by moving the right hand plane zero to higher frequencies. Also in current mode contro, below 50% duty cycle and no slope compensation is needed to eliminate sub harmonic oscillation. </a:t>
              </a:r>
            </a:p>
            <a:p>
              <a:pPr algn="ctr"/>
              <a14:m>
                <m:oMath xmlns:m="http://schemas.openxmlformats.org/officeDocument/2006/math">
                  <m:sSub>
                    <m:sSubPr>
                      <m:ctrlPr>
                        <a:rPr lang="en-US" sz="1100" i="1" baseline="0">
                          <a:latin typeface="Cambria Math"/>
                        </a:rPr>
                      </m:ctrlPr>
                    </m:sSubPr>
                    <m:e>
                      <m:r>
                        <a:rPr lang="en-US" sz="1100" b="0" i="1" baseline="0">
                          <a:latin typeface="Cambria Math"/>
                        </a:rPr>
                        <m:t>𝐷</m:t>
                      </m:r>
                    </m:e>
                    <m:sub>
                      <m:r>
                        <a:rPr lang="en-US" sz="1100" b="0" i="1" baseline="0">
                          <a:latin typeface="Cambria Math"/>
                        </a:rPr>
                        <m:t>𝑓𝑙𝑦𝑏𝑎𝑐𝑘</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𝑝𝑟𝑖𝑚𝑎𝑟𝑦</m:t>
                          </m:r>
                        </m:sub>
                      </m:sSub>
                      <m:r>
                        <a:rPr lang="en-US" sz="1100" b="0" i="1" baseline="0">
                          <a:latin typeface="Cambria Math"/>
                        </a:rPr>
                        <m:t>∗</m:t>
                      </m:r>
                      <m:d>
                        <m:dPr>
                          <m:ctrlPr>
                            <a:rPr lang="en-US" sz="1100" b="0" i="1" baseline="0">
                              <a:latin typeface="Cambria Math"/>
                            </a:rPr>
                          </m:ctrlPr>
                        </m:dPr>
                        <m:e>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e>
                      </m:d>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𝑠𝑒𝑐𝑜𝑛𝑑𝑎𝑟𝑦</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𝑖𝑛</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r>
                        <a:rPr lang="en-US" sz="1100" b="0" i="1" baseline="0">
                          <a:latin typeface="Cambria Math"/>
                        </a:rPr>
                        <m:t>)</m:t>
                      </m:r>
                    </m:den>
                  </m:f>
                </m:oMath>
              </a14:m>
              <a:r>
                <a:rPr lang="en-US" sz="1100" baseline="0"/>
                <a:t> </a:t>
              </a:r>
              <a:endParaRPr lang="en-US" sz="1100"/>
            </a:p>
          </xdr:txBody>
        </xdr:sp>
      </mc:Choice>
      <mc:Fallback xmlns="">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that off a simple buck-boost converter with an added turns ratio term. It is also desireable to keep the duty cycle below 50% to ease controller compensation design by moving the right hand plane zero to higher frequencies. Also in current mode contro, below 50% duty cycle and no slope compensation is needed to eliminate sub harmonic oscillation. </a:t>
              </a:r>
            </a:p>
            <a:p>
              <a:pPr algn="ctr"/>
              <a:r>
                <a:rPr lang="en-US" sz="1100" b="0" i="0" baseline="0">
                  <a:latin typeface="Cambria Math"/>
                </a:rPr>
                <a:t>𝐷_𝑓𝑙𝑦𝑏𝑎𝑐𝑘=(𝑁_𝑝𝑟𝑖𝑚𝑎𝑟𝑦∗(𝑉_𝑜𝑢𝑡+𝑉_𝑑𝑖𝑜𝑑𝑒 ))/(𝑁_𝑠𝑒𝑐𝑜𝑛𝑑𝑎𝑟𝑦∗𝑉_𝑖𝑛+(𝑉_𝑜𝑢𝑡+𝑉_𝑑𝑖𝑜𝑑𝑒))</a:t>
              </a:r>
              <a:r>
                <a:rPr lang="en-US" sz="1100" baseline="0"/>
                <a:t> </a:t>
              </a:r>
              <a:endParaRPr lang="en-US" sz="1100"/>
            </a:p>
          </xdr:txBody>
        </xdr:sp>
      </mc:Fallback>
    </mc:AlternateContent>
    <xdr:clientData/>
  </xdr:twoCellAnchor>
  <xdr:twoCellAnchor>
    <xdr:from>
      <xdr:col>6</xdr:col>
      <xdr:colOff>447261</xdr:colOff>
      <xdr:row>55</xdr:row>
      <xdr:rowOff>68036</xdr:rowOff>
    </xdr:from>
    <xdr:to>
      <xdr:col>14</xdr:col>
      <xdr:colOff>579784</xdr:colOff>
      <xdr:row>62</xdr:row>
      <xdr:rowOff>182218</xdr:rowOff>
    </xdr:to>
    <xdr:sp macro="" textlink="">
      <xdr:nvSpPr>
        <xdr:cNvPr id="33" name="TextBox 32"/>
        <xdr:cNvSpPr txBox="1"/>
      </xdr:nvSpPr>
      <xdr:spPr>
        <a:xfrm>
          <a:off x="5176631" y="10711188"/>
          <a:ext cx="5035827"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peak current a full load vers</a:t>
          </a:r>
          <a:r>
            <a:rPr lang="en-US" sz="1100" baseline="0"/>
            <a:t>us ViN. The current limit must be set above this range. Compared to flyback DCM operation the peak current is much smaller. This is due to energy being stored in the core of the transformer decreasing the peak current needed to supply the loads.</a:t>
          </a:r>
          <a:endParaRPr lang="en-US" sz="1100"/>
        </a:p>
      </xdr:txBody>
    </xdr:sp>
    <xdr:clientData/>
  </xdr:twoCellAnchor>
  <xdr:twoCellAnchor>
    <xdr:from>
      <xdr:col>15</xdr:col>
      <xdr:colOff>115990</xdr:colOff>
      <xdr:row>55</xdr:row>
      <xdr:rowOff>84576</xdr:rowOff>
    </xdr:from>
    <xdr:to>
      <xdr:col>23</xdr:col>
      <xdr:colOff>248513</xdr:colOff>
      <xdr:row>62</xdr:row>
      <xdr:rowOff>190499</xdr:rowOff>
    </xdr:to>
    <xdr:sp macro="" textlink="">
      <xdr:nvSpPr>
        <xdr:cNvPr id="34" name="TextBox 33"/>
        <xdr:cNvSpPr txBox="1"/>
      </xdr:nvSpPr>
      <xdr:spPr>
        <a:xfrm>
          <a:off x="10361577" y="10727728"/>
          <a:ext cx="5035827" cy="143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RMS</a:t>
          </a:r>
          <a:r>
            <a:rPr lang="en-US" sz="1100" baseline="0"/>
            <a:t> current at full load versus VIN. The RMS current is lower than that of DCM operation which generally yeilds better efficiency because power disipation in the MOSFET and clamp circuit will be lower</a:t>
          </a:r>
          <a:endParaRPr lang="en-US" sz="1100"/>
        </a:p>
      </xdr:txBody>
    </xdr:sp>
    <xdr:clientData/>
  </xdr:twoCellAnchor>
  <xdr:twoCellAnchor>
    <xdr:from>
      <xdr:col>0</xdr:col>
      <xdr:colOff>0</xdr:colOff>
      <xdr:row>100</xdr:row>
      <xdr:rowOff>134471</xdr:rowOff>
    </xdr:from>
    <xdr:to>
      <xdr:col>5</xdr:col>
      <xdr:colOff>470647</xdr:colOff>
      <xdr:row>105</xdr:row>
      <xdr:rowOff>96371</xdr:rowOff>
    </xdr:to>
    <xdr:sp macro="" textlink="">
      <xdr:nvSpPr>
        <xdr:cNvPr id="6" name="TextBox 5"/>
        <xdr:cNvSpPr txBox="1"/>
      </xdr:nvSpPr>
      <xdr:spPr>
        <a:xfrm>
          <a:off x="0" y="19498236"/>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11206</xdr:colOff>
      <xdr:row>100</xdr:row>
      <xdr:rowOff>145677</xdr:rowOff>
    </xdr:from>
    <xdr:to>
      <xdr:col>13</xdr:col>
      <xdr:colOff>347383</xdr:colOff>
      <xdr:row>105</xdr:row>
      <xdr:rowOff>107577</xdr:rowOff>
    </xdr:to>
    <xdr:sp macro="" textlink="">
      <xdr:nvSpPr>
        <xdr:cNvPr id="36" name="TextBox 35"/>
        <xdr:cNvSpPr txBox="1"/>
      </xdr:nvSpPr>
      <xdr:spPr>
        <a:xfrm>
          <a:off x="4717677"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11206</xdr:colOff>
      <xdr:row>100</xdr:row>
      <xdr:rowOff>145677</xdr:rowOff>
    </xdr:from>
    <xdr:to>
      <xdr:col>21</xdr:col>
      <xdr:colOff>347383</xdr:colOff>
      <xdr:row>105</xdr:row>
      <xdr:rowOff>107577</xdr:rowOff>
    </xdr:to>
    <xdr:sp macro="" textlink="">
      <xdr:nvSpPr>
        <xdr:cNvPr id="37" name="TextBox 36"/>
        <xdr:cNvSpPr txBox="1"/>
      </xdr:nvSpPr>
      <xdr:spPr>
        <a:xfrm>
          <a:off x="9558618"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600075</xdr:colOff>
      <xdr:row>55</xdr:row>
      <xdr:rowOff>138112</xdr:rowOff>
    </xdr:from>
    <xdr:to>
      <xdr:col>20</xdr:col>
      <xdr:colOff>619125</xdr:colOff>
      <xdr:row>70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163</xdr:row>
      <xdr:rowOff>47626</xdr:rowOff>
    </xdr:from>
    <xdr:to>
      <xdr:col>6</xdr:col>
      <xdr:colOff>590549</xdr:colOff>
      <xdr:row>179</xdr:row>
      <xdr:rowOff>9526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213</xdr:row>
      <xdr:rowOff>0</xdr:rowOff>
    </xdr:from>
    <xdr:to>
      <xdr:col>6</xdr:col>
      <xdr:colOff>266700</xdr:colOff>
      <xdr:row>229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245</xdr:row>
      <xdr:rowOff>180975</xdr:rowOff>
    </xdr:from>
    <xdr:to>
      <xdr:col>6</xdr:col>
      <xdr:colOff>257174</xdr:colOff>
      <xdr:row>261</xdr:row>
      <xdr:rowOff>180975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213</xdr:row>
      <xdr:rowOff>9525</xdr:rowOff>
    </xdr:from>
    <xdr:to>
      <xdr:col>15</xdr:col>
      <xdr:colOff>447674</xdr:colOff>
      <xdr:row>229</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9525</xdr:colOff>
      <xdr:row>245</xdr:row>
      <xdr:rowOff>180975</xdr:rowOff>
    </xdr:from>
    <xdr:to>
      <xdr:col>15</xdr:col>
      <xdr:colOff>447675</xdr:colOff>
      <xdr:row>261</xdr:row>
      <xdr:rowOff>171450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62463</xdr:rowOff>
    </xdr:from>
    <xdr:to>
      <xdr:col>5</xdr:col>
      <xdr:colOff>145676</xdr:colOff>
      <xdr:row>55</xdr:row>
      <xdr:rowOff>100563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380999</xdr:colOff>
      <xdr:row>41</xdr:row>
      <xdr:rowOff>48176</xdr:rowOff>
    </xdr:from>
    <xdr:to>
      <xdr:col>13</xdr:col>
      <xdr:colOff>112058</xdr:colOff>
      <xdr:row>55</xdr:row>
      <xdr:rowOff>86276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247649</xdr:colOff>
      <xdr:row>41</xdr:row>
      <xdr:rowOff>57701</xdr:rowOff>
    </xdr:from>
    <xdr:to>
      <xdr:col>20</xdr:col>
      <xdr:colOff>583826</xdr:colOff>
      <xdr:row>55</xdr:row>
      <xdr:rowOff>95801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83</xdr:row>
      <xdr:rowOff>180975</xdr:rowOff>
    </xdr:from>
    <xdr:to>
      <xdr:col>5</xdr:col>
      <xdr:colOff>145676</xdr:colOff>
      <xdr:row>98</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361949</xdr:colOff>
      <xdr:row>84</xdr:row>
      <xdr:rowOff>0</xdr:rowOff>
    </xdr:from>
    <xdr:to>
      <xdr:col>13</xdr:col>
      <xdr:colOff>93008</xdr:colOff>
      <xdr:row>98</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295274</xdr:colOff>
      <xdr:row>84</xdr:row>
      <xdr:rowOff>9526</xdr:rowOff>
    </xdr:from>
    <xdr:to>
      <xdr:col>21</xdr:col>
      <xdr:colOff>26333</xdr:colOff>
      <xdr:row>98</xdr:row>
      <xdr:rowOff>85726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352424</xdr:colOff>
      <xdr:row>105</xdr:row>
      <xdr:rowOff>4763</xdr:rowOff>
    </xdr:from>
    <xdr:to>
      <xdr:col>13</xdr:col>
      <xdr:colOff>83483</xdr:colOff>
      <xdr:row>119</xdr:row>
      <xdr:rowOff>80963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76200</xdr:rowOff>
        </xdr:from>
        <xdr:to>
          <xdr:col>3</xdr:col>
          <xdr:colOff>495300</xdr:colOff>
          <xdr:row>13</xdr:row>
          <xdr:rowOff>28575</xdr:rowOff>
        </xdr:to>
        <xdr:sp macro="" textlink="">
          <xdr:nvSpPr>
            <xdr:cNvPr id="40968" name="Object 8" hidden="1">
              <a:extLst>
                <a:ext uri="{63B3BB69-23CF-44E3-9099-C40C66FF867C}">
                  <a14:compatExt spid="_x0000_s4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67</xdr:row>
          <xdr:rowOff>0</xdr:rowOff>
        </xdr:from>
        <xdr:to>
          <xdr:col>9</xdr:col>
          <xdr:colOff>571500</xdr:colOff>
          <xdr:row>82</xdr:row>
          <xdr:rowOff>0</xdr:rowOff>
        </xdr:to>
        <xdr:sp macro="" textlink="">
          <xdr:nvSpPr>
            <xdr:cNvPr id="40969" name="Object 9" hidden="1">
              <a:extLst>
                <a:ext uri="{63B3BB69-23CF-44E3-9099-C40C66FF867C}">
                  <a14:compatExt spid="_x0000_s40969"/>
                </a:ext>
              </a:extLst>
            </xdr:cNvPr>
            <xdr:cNvSpPr/>
          </xdr:nvSpPr>
          <xdr:spPr>
            <a:xfrm>
              <a:off x="0" y="0"/>
              <a:ext cx="0" cy="0"/>
            </a:xfrm>
            <a:prstGeom prst="rect">
              <a:avLst/>
            </a:prstGeom>
          </xdr:spPr>
        </xdr:sp>
        <xdr:clientData/>
      </xdr:twoCellAnchor>
    </mc:Choice>
    <mc:Fallback/>
  </mc:AlternateContent>
  <xdr:twoCellAnchor>
    <xdr:from>
      <xdr:col>0</xdr:col>
      <xdr:colOff>0</xdr:colOff>
      <xdr:row>105</xdr:row>
      <xdr:rowOff>0</xdr:rowOff>
    </xdr:from>
    <xdr:to>
      <xdr:col>5</xdr:col>
      <xdr:colOff>145676</xdr:colOff>
      <xdr:row>119</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134470</xdr:colOff>
      <xdr:row>24</xdr:row>
      <xdr:rowOff>160243</xdr:rowOff>
    </xdr:from>
    <xdr:to>
      <xdr:col>21</xdr:col>
      <xdr:colOff>123265</xdr:colOff>
      <xdr:row>40</xdr:row>
      <xdr:rowOff>11205</xdr:rowOff>
    </xdr:to>
    <xdr:sp macro="" textlink="">
      <xdr:nvSpPr>
        <xdr:cNvPr id="18" name="TextBox 17"/>
        <xdr:cNvSpPr txBox="1"/>
      </xdr:nvSpPr>
      <xdr:spPr>
        <a:xfrm>
          <a:off x="8796617" y="4866714"/>
          <a:ext cx="5434854" cy="29886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Turns Ratios</a:t>
          </a:r>
        </a:p>
      </xdr:txBody>
    </xdr:sp>
    <xdr:clientData/>
  </xdr:twoCellAnchor>
  <xdr:twoCellAnchor>
    <xdr:from>
      <xdr:col>4</xdr:col>
      <xdr:colOff>0</xdr:colOff>
      <xdr:row>126</xdr:row>
      <xdr:rowOff>0</xdr:rowOff>
    </xdr:from>
    <xdr:to>
      <xdr:col>12</xdr:col>
      <xdr:colOff>571500</xdr:colOff>
      <xdr:row>134</xdr:row>
      <xdr:rowOff>42863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126</xdr:row>
      <xdr:rowOff>0</xdr:rowOff>
    </xdr:from>
    <xdr:to>
      <xdr:col>22</xdr:col>
      <xdr:colOff>38101</xdr:colOff>
      <xdr:row>134</xdr:row>
      <xdr:rowOff>47625</xdr:rowOff>
    </xdr:to>
    <mc:AlternateContent xmlns:mc="http://schemas.openxmlformats.org/markup-compatibility/2006" xmlns:a14="http://schemas.microsoft.com/office/drawing/2010/main">
      <mc:Choice Requires="a14">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refelected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refelected reflected to the secondary plus the output voltage.</a:t>
              </a:r>
            </a:p>
            <a:p>
              <a:endParaRPr lang="en-US" sz="1100" baseline="0"/>
            </a:p>
            <a:p>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4</xdr:col>
      <xdr:colOff>0</xdr:colOff>
      <xdr:row>135</xdr:row>
      <xdr:rowOff>0</xdr:rowOff>
    </xdr:from>
    <xdr:to>
      <xdr:col>12</xdr:col>
      <xdr:colOff>581025</xdr:colOff>
      <xdr:row>150</xdr:row>
      <xdr:rowOff>42864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188</xdr:row>
          <xdr:rowOff>38100</xdr:rowOff>
        </xdr:from>
        <xdr:to>
          <xdr:col>10</xdr:col>
          <xdr:colOff>190500</xdr:colOff>
          <xdr:row>198</xdr:row>
          <xdr:rowOff>76200</xdr:rowOff>
        </xdr:to>
        <xdr:sp macro="" textlink="">
          <xdr:nvSpPr>
            <xdr:cNvPr id="40970" name="Object 10" hidden="1">
              <a:extLst>
                <a:ext uri="{63B3BB69-23CF-44E3-9099-C40C66FF867C}">
                  <a14:compatExt spid="_x0000_s40970"/>
                </a:ext>
              </a:extLst>
            </xdr:cNvPr>
            <xdr:cNvSpPr/>
          </xdr:nvSpPr>
          <xdr:spPr>
            <a:xfrm>
              <a:off x="0" y="0"/>
              <a:ext cx="0" cy="0"/>
            </a:xfrm>
            <a:prstGeom prst="rect">
              <a:avLst/>
            </a:prstGeom>
          </xdr:spPr>
        </xdr:sp>
        <xdr:clientData/>
      </xdr:twoCellAnchor>
    </mc:Choice>
    <mc:Fallback/>
  </mc:AlternateContent>
  <xdr:twoCellAnchor>
    <xdr:from>
      <xdr:col>3</xdr:col>
      <xdr:colOff>190500</xdr:colOff>
      <xdr:row>24</xdr:row>
      <xdr:rowOff>145676</xdr:rowOff>
    </xdr:from>
    <xdr:to>
      <xdr:col>11</xdr:col>
      <xdr:colOff>564598</xdr:colOff>
      <xdr:row>40</xdr:row>
      <xdr:rowOff>16405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98</xdr:row>
      <xdr:rowOff>67232</xdr:rowOff>
    </xdr:from>
    <xdr:to>
      <xdr:col>5</xdr:col>
      <xdr:colOff>145676</xdr:colOff>
      <xdr:row>103</xdr:row>
      <xdr:rowOff>29132</xdr:rowOff>
    </xdr:to>
    <xdr:sp macro="" textlink="">
      <xdr:nvSpPr>
        <xdr:cNvPr id="27" name="TextBox 26"/>
        <xdr:cNvSpPr txBox="1"/>
      </xdr:nvSpPr>
      <xdr:spPr>
        <a:xfrm>
          <a:off x="0"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55</xdr:row>
      <xdr:rowOff>104215</xdr:rowOff>
    </xdr:from>
    <xdr:to>
      <xdr:col>5</xdr:col>
      <xdr:colOff>145676</xdr:colOff>
      <xdr:row>60</xdr:row>
      <xdr:rowOff>66115</xdr:rowOff>
    </xdr:to>
    <xdr:sp macro="" textlink="">
      <xdr:nvSpPr>
        <xdr:cNvPr id="28" name="TextBox 27"/>
        <xdr:cNvSpPr txBox="1"/>
      </xdr:nvSpPr>
      <xdr:spPr>
        <a:xfrm>
          <a:off x="0" y="1080583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Turns Ratios</a:t>
          </a:r>
        </a:p>
      </xdr:txBody>
    </xdr:sp>
    <xdr:clientData/>
  </xdr:twoCellAnchor>
  <xdr:twoCellAnchor>
    <xdr:from>
      <xdr:col>5</xdr:col>
      <xdr:colOff>381000</xdr:colOff>
      <xdr:row>55</xdr:row>
      <xdr:rowOff>81803</xdr:rowOff>
    </xdr:from>
    <xdr:to>
      <xdr:col>13</xdr:col>
      <xdr:colOff>112059</xdr:colOff>
      <xdr:row>60</xdr:row>
      <xdr:rowOff>43703</xdr:rowOff>
    </xdr:to>
    <xdr:sp macro="" textlink="">
      <xdr:nvSpPr>
        <xdr:cNvPr id="29" name="TextBox 28"/>
        <xdr:cNvSpPr txBox="1"/>
      </xdr:nvSpPr>
      <xdr:spPr>
        <a:xfrm>
          <a:off x="4807324"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Turns Ratios</a:t>
          </a:r>
        </a:p>
      </xdr:txBody>
    </xdr:sp>
    <xdr:clientData/>
  </xdr:twoCellAnchor>
  <xdr:twoCellAnchor>
    <xdr:from>
      <xdr:col>13</xdr:col>
      <xdr:colOff>246530</xdr:colOff>
      <xdr:row>55</xdr:row>
      <xdr:rowOff>81803</xdr:rowOff>
    </xdr:from>
    <xdr:to>
      <xdr:col>20</xdr:col>
      <xdr:colOff>582707</xdr:colOff>
      <xdr:row>60</xdr:row>
      <xdr:rowOff>43703</xdr:rowOff>
    </xdr:to>
    <xdr:sp macro="" textlink="">
      <xdr:nvSpPr>
        <xdr:cNvPr id="30" name="TextBox 29"/>
        <xdr:cNvSpPr txBox="1"/>
      </xdr:nvSpPr>
      <xdr:spPr>
        <a:xfrm>
          <a:off x="9513795"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Turns Ratios</a:t>
          </a:r>
        </a:p>
      </xdr:txBody>
    </xdr:sp>
    <xdr:clientData/>
  </xdr:twoCellAnchor>
  <xdr:twoCellAnchor>
    <xdr:from>
      <xdr:col>5</xdr:col>
      <xdr:colOff>358588</xdr:colOff>
      <xdr:row>98</xdr:row>
      <xdr:rowOff>67232</xdr:rowOff>
    </xdr:from>
    <xdr:to>
      <xdr:col>13</xdr:col>
      <xdr:colOff>89647</xdr:colOff>
      <xdr:row>103</xdr:row>
      <xdr:rowOff>29132</xdr:rowOff>
    </xdr:to>
    <xdr:sp macro="" textlink="">
      <xdr:nvSpPr>
        <xdr:cNvPr id="31" name="TextBox 30"/>
        <xdr:cNvSpPr txBox="1"/>
      </xdr:nvSpPr>
      <xdr:spPr>
        <a:xfrm>
          <a:off x="4784912"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291353</xdr:colOff>
      <xdr:row>98</xdr:row>
      <xdr:rowOff>67232</xdr:rowOff>
    </xdr:from>
    <xdr:to>
      <xdr:col>21</xdr:col>
      <xdr:colOff>22412</xdr:colOff>
      <xdr:row>103</xdr:row>
      <xdr:rowOff>29132</xdr:rowOff>
    </xdr:to>
    <xdr:sp macro="" textlink="">
      <xdr:nvSpPr>
        <xdr:cNvPr id="32" name="TextBox 31"/>
        <xdr:cNvSpPr txBox="1"/>
      </xdr:nvSpPr>
      <xdr:spPr>
        <a:xfrm>
          <a:off x="9558618"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119</xdr:row>
      <xdr:rowOff>56026</xdr:rowOff>
    </xdr:from>
    <xdr:to>
      <xdr:col>5</xdr:col>
      <xdr:colOff>145676</xdr:colOff>
      <xdr:row>124</xdr:row>
      <xdr:rowOff>17926</xdr:rowOff>
    </xdr:to>
    <xdr:sp macro="" textlink="">
      <xdr:nvSpPr>
        <xdr:cNvPr id="33" name="TextBox 32"/>
        <xdr:cNvSpPr txBox="1"/>
      </xdr:nvSpPr>
      <xdr:spPr>
        <a:xfrm>
          <a:off x="0"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347382</xdr:colOff>
      <xdr:row>119</xdr:row>
      <xdr:rowOff>56026</xdr:rowOff>
    </xdr:from>
    <xdr:to>
      <xdr:col>13</xdr:col>
      <xdr:colOff>78441</xdr:colOff>
      <xdr:row>124</xdr:row>
      <xdr:rowOff>17926</xdr:rowOff>
    </xdr:to>
    <xdr:sp macro="" textlink="">
      <xdr:nvSpPr>
        <xdr:cNvPr id="34" name="TextBox 33"/>
        <xdr:cNvSpPr txBox="1"/>
      </xdr:nvSpPr>
      <xdr:spPr>
        <a:xfrm>
          <a:off x="4773706"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21</xdr:col>
      <xdr:colOff>443865</xdr:colOff>
      <xdr:row>77</xdr:row>
      <xdr:rowOff>144780</xdr:rowOff>
    </xdr:from>
    <xdr:to>
      <xdr:col>29</xdr:col>
      <xdr:colOff>398145</xdr:colOff>
      <xdr:row>87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66</xdr:row>
      <xdr:rowOff>80010</xdr:rowOff>
    </xdr:from>
    <xdr:to>
      <xdr:col>21</xdr:col>
      <xdr:colOff>85725</xdr:colOff>
      <xdr:row>77</xdr:row>
      <xdr:rowOff>139065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558165</xdr:colOff>
      <xdr:row>66</xdr:row>
      <xdr:rowOff>146685</xdr:rowOff>
    </xdr:from>
    <xdr:to>
      <xdr:col>29</xdr:col>
      <xdr:colOff>520065</xdr:colOff>
      <xdr:row>77</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510540</xdr:colOff>
      <xdr:row>56</xdr:row>
      <xdr:rowOff>173355</xdr:rowOff>
    </xdr:from>
    <xdr:to>
      <xdr:col>29</xdr:col>
      <xdr:colOff>468630</xdr:colOff>
      <xdr:row>66</xdr:row>
      <xdr:rowOff>24765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504825</xdr:colOff>
      <xdr:row>56</xdr:row>
      <xdr:rowOff>142875</xdr:rowOff>
    </xdr:from>
    <xdr:to>
      <xdr:col>21</xdr:col>
      <xdr:colOff>293370</xdr:colOff>
      <xdr:row>65</xdr:row>
      <xdr:rowOff>184785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571500</xdr:colOff>
      <xdr:row>78</xdr:row>
      <xdr:rowOff>109537</xdr:rowOff>
    </xdr:from>
    <xdr:to>
      <xdr:col>19</xdr:col>
      <xdr:colOff>504825</xdr:colOff>
      <xdr:row>92</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89</xdr:col>
      <xdr:colOff>495300</xdr:colOff>
      <xdr:row>54</xdr:row>
      <xdr:rowOff>57150</xdr:rowOff>
    </xdr:from>
    <xdr:to>
      <xdr:col>95</xdr:col>
      <xdr:colOff>370969</xdr:colOff>
      <xdr:row>58</xdr:row>
      <xdr:rowOff>38007</xdr:rowOff>
    </xdr:to>
    <xdr:pic>
      <xdr:nvPicPr>
        <xdr:cNvPr id="2" name="Picture 1"/>
        <xdr:cNvPicPr>
          <a:picLocks noChangeAspect="1"/>
        </xdr:cNvPicPr>
      </xdr:nvPicPr>
      <xdr:blipFill>
        <a:blip xmlns:r="http://schemas.openxmlformats.org/officeDocument/2006/relationships" r:embed="rId1"/>
        <a:stretch>
          <a:fillRect/>
        </a:stretch>
      </xdr:blipFill>
      <xdr:spPr>
        <a:xfrm>
          <a:off x="56140350" y="11144250"/>
          <a:ext cx="4047619" cy="742857"/>
        </a:xfrm>
        <a:prstGeom prst="rect">
          <a:avLst/>
        </a:prstGeom>
      </xdr:spPr>
    </xdr:pic>
    <xdr:clientData/>
  </xdr:twoCellAnchor>
  <xdr:twoCellAnchor editAs="oneCell">
    <xdr:from>
      <xdr:col>7</xdr:col>
      <xdr:colOff>0</xdr:colOff>
      <xdr:row>63</xdr:row>
      <xdr:rowOff>0</xdr:rowOff>
    </xdr:from>
    <xdr:to>
      <xdr:col>13</xdr:col>
      <xdr:colOff>380488</xdr:colOff>
      <xdr:row>67</xdr:row>
      <xdr:rowOff>57048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67275" y="12801600"/>
          <a:ext cx="4095238" cy="819048"/>
        </a:xfrm>
        <a:prstGeom prst="rect">
          <a:avLst/>
        </a:prstGeom>
      </xdr:spPr>
    </xdr:pic>
    <xdr:clientData/>
  </xdr:twoCellAnchor>
  <xdr:twoCellAnchor editAs="oneCell">
    <xdr:from>
      <xdr:col>7</xdr:col>
      <xdr:colOff>209550</xdr:colOff>
      <xdr:row>67</xdr:row>
      <xdr:rowOff>142875</xdr:rowOff>
    </xdr:from>
    <xdr:to>
      <xdr:col>12</xdr:col>
      <xdr:colOff>561543</xdr:colOff>
      <xdr:row>71</xdr:row>
      <xdr:rowOff>85637</xdr:rowOff>
    </xdr:to>
    <xdr:pic>
      <xdr:nvPicPr>
        <xdr:cNvPr id="4" name="Picture 3"/>
        <xdr:cNvPicPr>
          <a:picLocks noChangeAspect="1"/>
        </xdr:cNvPicPr>
      </xdr:nvPicPr>
      <xdr:blipFill>
        <a:blip xmlns:r="http://schemas.openxmlformats.org/officeDocument/2006/relationships" r:embed="rId3"/>
        <a:stretch>
          <a:fillRect/>
        </a:stretch>
      </xdr:blipFill>
      <xdr:spPr>
        <a:xfrm>
          <a:off x="5076825" y="13706475"/>
          <a:ext cx="3457143" cy="704762"/>
        </a:xfrm>
        <a:prstGeom prst="rect">
          <a:avLst/>
        </a:prstGeom>
      </xdr:spPr>
    </xdr:pic>
    <xdr:clientData/>
  </xdr:twoCellAnchor>
  <xdr:twoCellAnchor editAs="oneCell">
    <xdr:from>
      <xdr:col>106</xdr:col>
      <xdr:colOff>104776</xdr:colOff>
      <xdr:row>4</xdr:row>
      <xdr:rowOff>171450</xdr:rowOff>
    </xdr:from>
    <xdr:to>
      <xdr:col>111</xdr:col>
      <xdr:colOff>600076</xdr:colOff>
      <xdr:row>8</xdr:row>
      <xdr:rowOff>146879</xdr:rowOff>
    </xdr:to>
    <xdr:pic>
      <xdr:nvPicPr>
        <xdr:cNvPr id="5" name="Picture 4"/>
        <xdr:cNvPicPr>
          <a:picLocks noChangeAspect="1"/>
        </xdr:cNvPicPr>
      </xdr:nvPicPr>
      <xdr:blipFill>
        <a:blip xmlns:r="http://schemas.openxmlformats.org/officeDocument/2006/relationships" r:embed="rId4"/>
        <a:stretch>
          <a:fillRect/>
        </a:stretch>
      </xdr:blipFill>
      <xdr:spPr>
        <a:xfrm>
          <a:off x="65151001" y="1724025"/>
          <a:ext cx="3848100" cy="775529"/>
        </a:xfrm>
        <a:prstGeom prst="rect">
          <a:avLst/>
        </a:prstGeom>
      </xdr:spPr>
    </xdr:pic>
    <xdr:clientData/>
  </xdr:twoCellAnchor>
  <xdr:twoCellAnchor editAs="oneCell">
    <xdr:from>
      <xdr:col>3</xdr:col>
      <xdr:colOff>428625</xdr:colOff>
      <xdr:row>103</xdr:row>
      <xdr:rowOff>104775</xdr:rowOff>
    </xdr:from>
    <xdr:to>
      <xdr:col>11</xdr:col>
      <xdr:colOff>218457</xdr:colOff>
      <xdr:row>108</xdr:row>
      <xdr:rowOff>95132</xdr:rowOff>
    </xdr:to>
    <xdr:pic>
      <xdr:nvPicPr>
        <xdr:cNvPr id="6" name="Picture 5"/>
        <xdr:cNvPicPr>
          <a:picLocks noChangeAspect="1"/>
        </xdr:cNvPicPr>
      </xdr:nvPicPr>
      <xdr:blipFill>
        <a:blip xmlns:r="http://schemas.openxmlformats.org/officeDocument/2006/relationships" r:embed="rId5"/>
        <a:stretch>
          <a:fillRect/>
        </a:stretch>
      </xdr:blipFill>
      <xdr:spPr>
        <a:xfrm>
          <a:off x="3114675" y="19192875"/>
          <a:ext cx="4942857" cy="942857"/>
        </a:xfrm>
        <a:prstGeom prst="rect">
          <a:avLst/>
        </a:prstGeom>
      </xdr:spPr>
    </xdr:pic>
    <xdr:clientData/>
  </xdr:twoCellAnchor>
  <xdr:twoCellAnchor>
    <xdr:from>
      <xdr:col>103</xdr:col>
      <xdr:colOff>19050</xdr:colOff>
      <xdr:row>67</xdr:row>
      <xdr:rowOff>157162</xdr:rowOff>
    </xdr:from>
    <xdr:to>
      <xdr:col>113</xdr:col>
      <xdr:colOff>133350</xdr:colOff>
      <xdr:row>98</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103</xdr:col>
      <xdr:colOff>38100</xdr:colOff>
      <xdr:row>99</xdr:row>
      <xdr:rowOff>0</xdr:rowOff>
    </xdr:from>
    <xdr:to>
      <xdr:col>113</xdr:col>
      <xdr:colOff>152400</xdr:colOff>
      <xdr:row>123</xdr:row>
      <xdr:rowOff>52388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103</xdr:col>
      <xdr:colOff>57150</xdr:colOff>
      <xdr:row>123</xdr:row>
      <xdr:rowOff>133350</xdr:rowOff>
    </xdr:from>
    <xdr:to>
      <xdr:col>113</xdr:col>
      <xdr:colOff>171450</xdr:colOff>
      <xdr:row>145</xdr:row>
      <xdr:rowOff>52388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4</xdr:col>
      <xdr:colOff>200025</xdr:colOff>
      <xdr:row>124</xdr:row>
      <xdr:rowOff>9525</xdr:rowOff>
    </xdr:from>
    <xdr:to>
      <xdr:col>8</xdr:col>
      <xdr:colOff>456856</xdr:colOff>
      <xdr:row>129</xdr:row>
      <xdr:rowOff>9402</xdr:rowOff>
    </xdr:to>
    <xdr:pic>
      <xdr:nvPicPr>
        <xdr:cNvPr id="10" name="Picture 9"/>
        <xdr:cNvPicPr>
          <a:picLocks noChangeAspect="1"/>
        </xdr:cNvPicPr>
      </xdr:nvPicPr>
      <xdr:blipFill>
        <a:blip xmlns:r="http://schemas.openxmlformats.org/officeDocument/2006/relationships" r:embed="rId9"/>
        <a:stretch>
          <a:fillRect/>
        </a:stretch>
      </xdr:blipFill>
      <xdr:spPr>
        <a:xfrm>
          <a:off x="3686175" y="23736300"/>
          <a:ext cx="2752381" cy="980952"/>
        </a:xfrm>
        <a:prstGeom prst="rect">
          <a:avLst/>
        </a:prstGeom>
      </xdr:spPr>
    </xdr:pic>
    <xdr:clientData/>
  </xdr:twoCellAnchor>
  <xdr:twoCellAnchor editAs="oneCell">
    <xdr:from>
      <xdr:col>106</xdr:col>
      <xdr:colOff>561975</xdr:colOff>
      <xdr:row>11</xdr:row>
      <xdr:rowOff>38100</xdr:rowOff>
    </xdr:from>
    <xdr:to>
      <xdr:col>110</xdr:col>
      <xdr:colOff>599731</xdr:colOff>
      <xdr:row>16</xdr:row>
      <xdr:rowOff>18927</xdr:rowOff>
    </xdr:to>
    <xdr:pic>
      <xdr:nvPicPr>
        <xdr:cNvPr id="11" name="Picture 10"/>
        <xdr:cNvPicPr>
          <a:picLocks noChangeAspect="1"/>
        </xdr:cNvPicPr>
      </xdr:nvPicPr>
      <xdr:blipFill>
        <a:blip xmlns:r="http://schemas.openxmlformats.org/officeDocument/2006/relationships" r:embed="rId9"/>
        <a:stretch>
          <a:fillRect/>
        </a:stretch>
      </xdr:blipFill>
      <xdr:spPr>
        <a:xfrm>
          <a:off x="65608200" y="2924175"/>
          <a:ext cx="2752381" cy="980952"/>
        </a:xfrm>
        <a:prstGeom prst="rect">
          <a:avLst/>
        </a:prstGeom>
      </xdr:spPr>
    </xdr:pic>
    <xdr:clientData/>
  </xdr:twoCellAnchor>
  <xdr:twoCellAnchor>
    <xdr:from>
      <xdr:col>113</xdr:col>
      <xdr:colOff>390525</xdr:colOff>
      <xdr:row>67</xdr:row>
      <xdr:rowOff>161925</xdr:rowOff>
    </xdr:from>
    <xdr:to>
      <xdr:col>125</xdr:col>
      <xdr:colOff>9525</xdr:colOff>
      <xdr:row>98</xdr:row>
      <xdr:rowOff>80963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106</xdr:col>
      <xdr:colOff>542925</xdr:colOff>
      <xdr:row>17</xdr:row>
      <xdr:rowOff>161925</xdr:rowOff>
    </xdr:from>
    <xdr:to>
      <xdr:col>111</xdr:col>
      <xdr:colOff>123459</xdr:colOff>
      <xdr:row>22</xdr:row>
      <xdr:rowOff>37991</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65646300" y="4191000"/>
          <a:ext cx="2933334" cy="876191"/>
        </a:xfrm>
        <a:prstGeom prst="rect">
          <a:avLst/>
        </a:prstGeom>
      </xdr:spPr>
    </xdr:pic>
    <xdr:clientData/>
  </xdr:twoCellAnchor>
  <xdr:twoCellAnchor>
    <xdr:from>
      <xdr:col>113</xdr:col>
      <xdr:colOff>400050</xdr:colOff>
      <xdr:row>99</xdr:row>
      <xdr:rowOff>152400</xdr:rowOff>
    </xdr:from>
    <xdr:to>
      <xdr:col>124</xdr:col>
      <xdr:colOff>600075</xdr:colOff>
      <xdr:row>125</xdr:row>
      <xdr:rowOff>195263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126</xdr:col>
      <xdr:colOff>0</xdr:colOff>
      <xdr:row>68</xdr:row>
      <xdr:rowOff>0</xdr:rowOff>
    </xdr:from>
    <xdr:to>
      <xdr:col>134</xdr:col>
      <xdr:colOff>409575</xdr:colOff>
      <xdr:row>83</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126</xdr:col>
      <xdr:colOff>0</xdr:colOff>
      <xdr:row>85</xdr:row>
      <xdr:rowOff>0</xdr:rowOff>
    </xdr:from>
    <xdr:to>
      <xdr:col>134</xdr:col>
      <xdr:colOff>409575</xdr:colOff>
      <xdr:row>104</xdr:row>
      <xdr:rowOff>152400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ference_Material/Fly-Buck/FLY_BUCK_Max_Output_P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jay Max"/>
      <sheetName val="Sheet1"/>
      <sheetName val="Sheet2"/>
      <sheetName val="Sheet3"/>
      <sheetName val="Sheet4"/>
    </sheetNames>
    <sheetDataSet>
      <sheetData sheetId="0">
        <row r="4">
          <cell r="D4">
            <v>0.5</v>
          </cell>
        </row>
        <row r="5">
          <cell r="D5">
            <v>12</v>
          </cell>
        </row>
      </sheetData>
      <sheetData sheetId="1">
        <row r="4">
          <cell r="E4">
            <v>0.3</v>
          </cell>
        </row>
        <row r="5">
          <cell r="E5">
            <v>0.5</v>
          </cell>
        </row>
      </sheetData>
      <sheetData sheetId="2"/>
      <sheetData sheetId="3">
        <row r="3">
          <cell r="L3">
            <v>9</v>
          </cell>
          <cell r="O3">
            <v>15</v>
          </cell>
          <cell r="R3">
            <v>1.5</v>
          </cell>
        </row>
        <row r="4">
          <cell r="L4">
            <v>36</v>
          </cell>
          <cell r="O4">
            <v>15</v>
          </cell>
          <cell r="R4">
            <v>0.6</v>
          </cell>
        </row>
        <row r="5">
          <cell r="L5">
            <v>0.9</v>
          </cell>
          <cell r="O5">
            <v>0.5</v>
          </cell>
        </row>
        <row r="7">
          <cell r="A7">
            <v>1.35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https://e2e.ti.com/blogs_/b/powerhouse/archive/2014/07/24/when-is-fly-buck-the-right-choice-for-your-isolated-power-needs" TargetMode="External"/><Relationship Id="rId6" Type="http://schemas.openxmlformats.org/officeDocument/2006/relationships/image" Target="../media/image6.emf"/><Relationship Id="rId5" Type="http://schemas.openxmlformats.org/officeDocument/2006/relationships/oleObject" Target="../embeddings/oleObject5.bin"/><Relationship Id="rId4" Type="http://schemas.openxmlformats.org/officeDocument/2006/relationships/vmlDrawing" Target="../drawings/vmlDrawing2.v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hyperlink" Target="https://e2e.ti.com/blogs_/b/powerhouse/archive/2014/11/08/should-you-use-buck-or-inverting-topology-for-fly-buck" TargetMode="External"/><Relationship Id="rId6" Type="http://schemas.openxmlformats.org/officeDocument/2006/relationships/oleObject" Target="../embeddings/oleObject8.bin"/><Relationship Id="rId5" Type="http://schemas.openxmlformats.org/officeDocument/2006/relationships/image" Target="../media/image8.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4.vml"/><Relationship Id="rId7" Type="http://schemas.openxmlformats.org/officeDocument/2006/relationships/image" Target="../media/image10.emf"/><Relationship Id="rId12" Type="http://schemas.openxmlformats.org/officeDocument/2006/relationships/comments" Target="../comments4.xml"/><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oleObject" Target="../embeddings/oleObject10.bin"/><Relationship Id="rId11" Type="http://schemas.openxmlformats.org/officeDocument/2006/relationships/image" Target="../media/image12.emf"/><Relationship Id="rId5" Type="http://schemas.openxmlformats.org/officeDocument/2006/relationships/image" Target="../media/image9.emf"/><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5.bin"/><Relationship Id="rId3" Type="http://schemas.openxmlformats.org/officeDocument/2006/relationships/vmlDrawing" Target="../drawings/vmlDrawing6.vml"/><Relationship Id="rId7" Type="http://schemas.openxmlformats.org/officeDocument/2006/relationships/image" Target="../media/image12.emf"/><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oleObject" Target="../embeddings/oleObject14.bin"/><Relationship Id="rId5" Type="http://schemas.openxmlformats.org/officeDocument/2006/relationships/image" Target="../media/image9.emf"/><Relationship Id="rId10" Type="http://schemas.openxmlformats.org/officeDocument/2006/relationships/comments" Target="../comments6.xml"/><Relationship Id="rId4" Type="http://schemas.openxmlformats.org/officeDocument/2006/relationships/oleObject" Target="../embeddings/oleObject13.bin"/><Relationship Id="rId9" Type="http://schemas.openxmlformats.org/officeDocument/2006/relationships/image" Target="../media/image10.emf"/></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abSelected="1" workbookViewId="0">
      <selection activeCell="E23" sqref="E23"/>
    </sheetView>
  </sheetViews>
  <sheetFormatPr defaultRowHeight="15" x14ac:dyDescent="0.25"/>
  <cols>
    <col min="1" max="16384" width="9.140625" style="282"/>
  </cols>
  <sheetData>
    <row r="1" spans="1:1" s="304" customFormat="1" x14ac:dyDescent="0.25">
      <c r="A1" s="304" t="s">
        <v>470</v>
      </c>
    </row>
    <row r="2" spans="1:1" s="304" customFormat="1" x14ac:dyDescent="0.25"/>
  </sheetData>
  <sheetProtection password="E1A4" sheet="1" objects="1" scenarios="1"/>
  <mergeCells count="1">
    <mergeCell ref="A1:XFD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21"/>
  <sheetViews>
    <sheetView topLeftCell="CC1" zoomScaleNormal="100" workbookViewId="0">
      <selection activeCell="DB8" sqref="DB8"/>
    </sheetView>
  </sheetViews>
  <sheetFormatPr defaultRowHeight="15" x14ac:dyDescent="0.25"/>
  <cols>
    <col min="1" max="1" width="26" bestFit="1" customWidth="1"/>
    <col min="2" max="2" width="14" customWidth="1"/>
    <col min="3" max="3" width="3.85546875" customWidth="1"/>
    <col min="4" max="4" width="12" bestFit="1" customWidth="1"/>
    <col min="7" max="7" width="13.5703125" customWidth="1"/>
    <col min="14" max="14" width="9.28515625" bestFit="1" customWidth="1"/>
    <col min="15" max="15" width="11.7109375" customWidth="1"/>
    <col min="18" max="18" width="9.28515625" style="15" customWidth="1"/>
    <col min="21" max="21" width="9.28515625" style="15" bestFit="1" customWidth="1"/>
    <col min="22" max="23" width="9.28515625" bestFit="1" customWidth="1"/>
    <col min="24" max="24" width="9.28515625" customWidth="1"/>
    <col min="25" max="25" width="9.28515625" style="15" bestFit="1" customWidth="1"/>
    <col min="26" max="26" width="9.28515625" style="15" customWidth="1"/>
    <col min="27" max="28" width="9.28515625" customWidth="1"/>
    <col min="29" max="29" width="9.28515625" style="15" bestFit="1" customWidth="1"/>
    <col min="30" max="30" width="9.28515625" bestFit="1" customWidth="1"/>
    <col min="31" max="31" width="9.5703125" bestFit="1" customWidth="1"/>
    <col min="32" max="32" width="9.5703125" customWidth="1"/>
    <col min="33" max="33" width="9.28515625" style="15" bestFit="1" customWidth="1"/>
    <col min="34" max="34" width="9.28515625" style="15" customWidth="1"/>
    <col min="35" max="36" width="9.28515625" customWidth="1"/>
    <col min="37" max="37" width="9.28515625" style="15" bestFit="1" customWidth="1"/>
    <col min="38" max="38" width="9.28515625" bestFit="1" customWidth="1"/>
    <col min="39" max="39" width="9.5703125" bestFit="1" customWidth="1"/>
    <col min="40" max="40" width="9.5703125" customWidth="1"/>
    <col min="41" max="41" width="9.28515625" style="15" bestFit="1" customWidth="1"/>
    <col min="42" max="43" width="9.28515625" style="15" customWidth="1"/>
    <col min="44" max="48" width="9.28515625" customWidth="1"/>
    <col min="49" max="49" width="9.28515625" style="15" customWidth="1"/>
    <col min="54" max="54" width="12.5703125" bestFit="1" customWidth="1"/>
    <col min="56" max="56" width="12.5703125" bestFit="1" customWidth="1"/>
    <col min="72" max="72" width="12" bestFit="1" customWidth="1"/>
    <col min="75" max="75" width="9.42578125" customWidth="1"/>
    <col min="86" max="86" width="9.5703125" customWidth="1"/>
    <col min="98" max="98" width="10" customWidth="1"/>
    <col min="100" max="100" width="14.42578125" customWidth="1"/>
    <col min="103" max="103" width="9.5703125" customWidth="1"/>
    <col min="108" max="108" width="8.5703125" customWidth="1"/>
  </cols>
  <sheetData>
    <row r="1" spans="1:119" ht="15.75" thickBot="1" x14ac:dyDescent="0.3">
      <c r="L1" s="11" t="s">
        <v>77</v>
      </c>
      <c r="M1" s="11"/>
      <c r="N1" s="13"/>
      <c r="O1" s="13"/>
      <c r="P1" s="13"/>
      <c r="Q1" s="13"/>
      <c r="S1" s="15">
        <v>2</v>
      </c>
      <c r="T1" s="15">
        <v>3</v>
      </c>
      <c r="U1" s="15">
        <v>4</v>
      </c>
      <c r="V1" s="15">
        <v>5</v>
      </c>
      <c r="W1" s="15">
        <v>6</v>
      </c>
      <c r="X1" s="15">
        <v>7</v>
      </c>
      <c r="Y1" s="15">
        <v>8</v>
      </c>
      <c r="Z1" s="15">
        <v>9</v>
      </c>
      <c r="AA1" s="15">
        <v>10</v>
      </c>
      <c r="AB1" s="15">
        <v>11</v>
      </c>
      <c r="AC1" s="15">
        <v>12</v>
      </c>
      <c r="AD1" s="15">
        <v>13</v>
      </c>
      <c r="AE1" s="15">
        <v>14</v>
      </c>
      <c r="AF1" s="15">
        <v>15</v>
      </c>
      <c r="AG1" s="15">
        <v>16</v>
      </c>
      <c r="AH1" s="15">
        <v>17</v>
      </c>
      <c r="AI1" s="15">
        <v>18</v>
      </c>
      <c r="AJ1" s="15">
        <v>19</v>
      </c>
      <c r="AK1" s="15">
        <v>20</v>
      </c>
      <c r="AL1" s="15">
        <v>21</v>
      </c>
      <c r="AM1" s="15">
        <v>22</v>
      </c>
      <c r="AN1" s="15">
        <v>23</v>
      </c>
      <c r="AO1" s="15">
        <v>24</v>
      </c>
      <c r="AP1" s="15">
        <v>25</v>
      </c>
      <c r="AQ1" s="15">
        <v>26</v>
      </c>
      <c r="AR1" s="15">
        <v>27</v>
      </c>
      <c r="AS1" s="15">
        <v>28</v>
      </c>
      <c r="AT1" s="15">
        <v>29</v>
      </c>
      <c r="AU1" s="15">
        <v>30</v>
      </c>
      <c r="AV1" s="15">
        <v>31</v>
      </c>
    </row>
    <row r="2" spans="1:119" ht="15.75" thickBot="1" x14ac:dyDescent="0.3">
      <c r="Q2" s="13" t="s">
        <v>79</v>
      </c>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X2" s="71" t="s">
        <v>224</v>
      </c>
      <c r="AY2" s="71"/>
      <c r="AZ2" s="71"/>
      <c r="BA2" s="71"/>
      <c r="BB2" s="320" t="s">
        <v>222</v>
      </c>
      <c r="BC2" s="321"/>
      <c r="BD2" s="320" t="s">
        <v>273</v>
      </c>
      <c r="BE2" s="327"/>
      <c r="BF2" s="134"/>
      <c r="BG2" s="135"/>
      <c r="BI2" t="s">
        <v>379</v>
      </c>
      <c r="CZ2" t="s">
        <v>451</v>
      </c>
      <c r="DF2" s="315" t="s">
        <v>679</v>
      </c>
      <c r="DG2" s="318"/>
      <c r="DH2" s="315" t="s">
        <v>787</v>
      </c>
      <c r="DI2" s="318"/>
      <c r="DJ2" s="315" t="s">
        <v>533</v>
      </c>
      <c r="DK2" s="318"/>
      <c r="DL2" s="315" t="s">
        <v>790</v>
      </c>
      <c r="DM2" s="318"/>
      <c r="DN2" s="315" t="s">
        <v>791</v>
      </c>
      <c r="DO2" s="318"/>
    </row>
    <row r="3" spans="1:119" s="14" customFormat="1" ht="75.75" thickBot="1" x14ac:dyDescent="0.3">
      <c r="K3" s="14" t="s">
        <v>30</v>
      </c>
      <c r="L3" s="66" t="s">
        <v>31</v>
      </c>
      <c r="M3" s="67" t="s">
        <v>233</v>
      </c>
      <c r="N3" s="68" t="s">
        <v>71</v>
      </c>
      <c r="O3" s="56" t="s">
        <v>72</v>
      </c>
      <c r="P3" s="57" t="s">
        <v>96</v>
      </c>
      <c r="Q3" s="57" t="s">
        <v>78</v>
      </c>
      <c r="R3" s="109" t="s">
        <v>148</v>
      </c>
      <c r="S3" s="90" t="s">
        <v>127</v>
      </c>
      <c r="T3" s="57" t="s">
        <v>378</v>
      </c>
      <c r="U3" s="89" t="s">
        <v>128</v>
      </c>
      <c r="V3" s="57" t="s">
        <v>129</v>
      </c>
      <c r="W3" s="57" t="s">
        <v>130</v>
      </c>
      <c r="X3" s="90" t="s">
        <v>275</v>
      </c>
      <c r="Y3" s="89" t="s">
        <v>131</v>
      </c>
      <c r="Z3" s="57" t="s">
        <v>132</v>
      </c>
      <c r="AA3" s="57" t="s">
        <v>133</v>
      </c>
      <c r="AB3" s="90" t="s">
        <v>277</v>
      </c>
      <c r="AC3" s="89" t="s">
        <v>134</v>
      </c>
      <c r="AD3" s="57" t="s">
        <v>137</v>
      </c>
      <c r="AE3" s="57" t="s">
        <v>136</v>
      </c>
      <c r="AF3" s="90" t="s">
        <v>278</v>
      </c>
      <c r="AG3" s="89" t="s">
        <v>138</v>
      </c>
      <c r="AH3" s="57" t="s">
        <v>135</v>
      </c>
      <c r="AI3" s="57" t="s">
        <v>139</v>
      </c>
      <c r="AJ3" s="90" t="s">
        <v>278</v>
      </c>
      <c r="AK3" s="89" t="s">
        <v>140</v>
      </c>
      <c r="AL3" s="57" t="s">
        <v>141</v>
      </c>
      <c r="AM3" s="57" t="s">
        <v>142</v>
      </c>
      <c r="AN3" s="90" t="s">
        <v>279</v>
      </c>
      <c r="AO3" s="89" t="s">
        <v>143</v>
      </c>
      <c r="AP3" s="57" t="s">
        <v>144</v>
      </c>
      <c r="AQ3" s="57" t="s">
        <v>145</v>
      </c>
      <c r="AR3" s="90" t="s">
        <v>276</v>
      </c>
      <c r="AS3" s="89" t="s">
        <v>414</v>
      </c>
      <c r="AT3" s="57" t="s">
        <v>415</v>
      </c>
      <c r="AU3" s="57" t="s">
        <v>416</v>
      </c>
      <c r="AV3" s="90" t="s">
        <v>417</v>
      </c>
      <c r="AW3" s="16" t="s">
        <v>287</v>
      </c>
      <c r="AX3" s="50" t="s">
        <v>221</v>
      </c>
      <c r="AY3" s="73" t="s">
        <v>216</v>
      </c>
      <c r="AZ3" s="76"/>
      <c r="BA3" s="77" t="s">
        <v>217</v>
      </c>
      <c r="BB3" s="72" t="s">
        <v>221</v>
      </c>
      <c r="BC3" s="49" t="s">
        <v>225</v>
      </c>
      <c r="BD3" s="48" t="s">
        <v>221</v>
      </c>
      <c r="BE3" s="72" t="s">
        <v>226</v>
      </c>
      <c r="BF3" s="56" t="s">
        <v>374</v>
      </c>
      <c r="BG3" s="90" t="s">
        <v>375</v>
      </c>
      <c r="BH3" s="56" t="s">
        <v>376</v>
      </c>
      <c r="BI3" s="90" t="s">
        <v>377</v>
      </c>
      <c r="BJ3" s="56" t="s">
        <v>380</v>
      </c>
      <c r="BK3" s="90" t="s">
        <v>381</v>
      </c>
      <c r="BL3" s="56" t="s">
        <v>382</v>
      </c>
      <c r="BM3" s="90" t="s">
        <v>383</v>
      </c>
      <c r="BN3" s="56" t="s">
        <v>384</v>
      </c>
      <c r="BO3" s="90" t="s">
        <v>385</v>
      </c>
      <c r="BP3" s="56" t="s">
        <v>386</v>
      </c>
      <c r="BQ3" s="90" t="s">
        <v>387</v>
      </c>
      <c r="BR3" s="56" t="s">
        <v>388</v>
      </c>
      <c r="BS3" s="90" t="s">
        <v>389</v>
      </c>
      <c r="BT3" s="56" t="s">
        <v>424</v>
      </c>
      <c r="BU3" s="90" t="s">
        <v>425</v>
      </c>
      <c r="BV3" s="66" t="s">
        <v>463</v>
      </c>
      <c r="BW3" s="67" t="s">
        <v>472</v>
      </c>
      <c r="BX3" s="67" t="s">
        <v>475</v>
      </c>
      <c r="BY3" s="67" t="s">
        <v>474</v>
      </c>
      <c r="BZ3" s="68" t="s">
        <v>473</v>
      </c>
      <c r="CA3" s="66" t="s">
        <v>640</v>
      </c>
      <c r="CB3" s="67" t="s">
        <v>577</v>
      </c>
      <c r="CC3" s="67" t="s">
        <v>578</v>
      </c>
      <c r="CD3" s="67" t="s">
        <v>579</v>
      </c>
      <c r="CE3" s="67" t="s">
        <v>580</v>
      </c>
      <c r="CF3" s="67" t="s">
        <v>581</v>
      </c>
      <c r="CG3" s="67" t="s">
        <v>582</v>
      </c>
      <c r="CH3" s="67" t="s">
        <v>622</v>
      </c>
      <c r="CI3" s="129" t="s">
        <v>641</v>
      </c>
      <c r="CJ3" s="81" t="s">
        <v>629</v>
      </c>
      <c r="CK3" s="160" t="s">
        <v>630</v>
      </c>
      <c r="CL3" s="160" t="s">
        <v>560</v>
      </c>
      <c r="CM3" s="230" t="s">
        <v>642</v>
      </c>
      <c r="CN3" s="81" t="s">
        <v>562</v>
      </c>
      <c r="CO3" s="160" t="s">
        <v>563</v>
      </c>
      <c r="CP3" s="160" t="s">
        <v>564</v>
      </c>
      <c r="CQ3" s="160" t="s">
        <v>565</v>
      </c>
      <c r="CR3" s="160" t="s">
        <v>566</v>
      </c>
      <c r="CS3" s="160" t="s">
        <v>567</v>
      </c>
      <c r="CT3" s="160" t="s">
        <v>632</v>
      </c>
      <c r="CU3" s="230" t="s">
        <v>633</v>
      </c>
      <c r="CV3" s="129" t="s">
        <v>476</v>
      </c>
      <c r="CW3" s="66" t="s">
        <v>619</v>
      </c>
      <c r="CX3" s="248" t="s">
        <v>603</v>
      </c>
      <c r="CY3" s="129" t="s">
        <v>9</v>
      </c>
      <c r="CZ3" s="14" t="s">
        <v>452</v>
      </c>
      <c r="DA3" s="14" t="s">
        <v>453</v>
      </c>
      <c r="DD3" s="14" t="s">
        <v>646</v>
      </c>
      <c r="DE3" s="14" t="s">
        <v>647</v>
      </c>
      <c r="DF3" s="66" t="s">
        <v>649</v>
      </c>
      <c r="DG3" s="68" t="s">
        <v>650</v>
      </c>
      <c r="DH3" s="66" t="s">
        <v>788</v>
      </c>
      <c r="DI3" s="68" t="s">
        <v>789</v>
      </c>
      <c r="DJ3" s="66" t="s">
        <v>788</v>
      </c>
      <c r="DK3" s="68" t="s">
        <v>789</v>
      </c>
      <c r="DL3" s="66" t="s">
        <v>788</v>
      </c>
      <c r="DM3" s="68" t="s">
        <v>789</v>
      </c>
      <c r="DN3" s="66" t="s">
        <v>788</v>
      </c>
      <c r="DO3" s="68" t="s">
        <v>789</v>
      </c>
    </row>
    <row r="4" spans="1:119" x14ac:dyDescent="0.25">
      <c r="A4" s="328" t="s">
        <v>298</v>
      </c>
      <c r="B4" s="328"/>
      <c r="K4" s="58">
        <v>0</v>
      </c>
      <c r="L4" s="131">
        <f>VinMin+(K4*DC_Step)</f>
        <v>9</v>
      </c>
      <c r="M4" s="130">
        <f>P4*N4</f>
        <v>0.7407407407407407</v>
      </c>
      <c r="N4" s="132">
        <f t="shared" ref="N4:N54" si="0">SQRT((2*Lm_Flyback_DCM*Fsw*Pout_Flyback)/((L4^2)*eff))</f>
        <v>0.36514837167011072</v>
      </c>
      <c r="O4" s="52">
        <f>SQRT((2*Lm_Flyback_DCM*Fsw*0.5*Pout_Flyback)/((L4^2)*eff))</f>
        <v>0.2581988897471611</v>
      </c>
      <c r="P4" s="21">
        <f>Pout_Flyback/(L4*N4*eff)</f>
        <v>2.0286020648339487</v>
      </c>
      <c r="Q4" s="19">
        <f>(L4*N4)/(Lm_Flyback_DCM*Fsw)</f>
        <v>4.0572041296678973</v>
      </c>
      <c r="R4" s="6">
        <f t="shared" ref="R4:R35" si="1">SUM(S4,(Ns1_Flyback/Np)*W4,(Ns2_Flyback/Np)*AA4,(Ns3_Flyback/Np)*AE4,(Ns4_Flyback/Np)*AI4,(Ns5_Flyback/Np)*AM4,(Ns6_Flyback/Np)*AR4,(NsAux_Flyback/Np)*AU4)</f>
        <v>3.1652402300629197</v>
      </c>
      <c r="S4" s="55">
        <f>Q4*SQRT(N4/3)</f>
        <v>1.4154708032657286</v>
      </c>
      <c r="T4" s="133">
        <f>SQRT((S4^2)-(M4^2))</f>
        <v>1.2061760857787662</v>
      </c>
      <c r="U4" s="54">
        <f t="shared" ref="U4:U35" si="2">IF(AND(Vout1&lt;&gt;0,Iout1&lt;&gt;0),(Lm_Flyback_DCM*((Ns1_Flyback/Np)^2)*Fsw*V4)/ABS(Vout1),0)</f>
        <v>0.23706792697452767</v>
      </c>
      <c r="V4" s="21">
        <f>IF(AND(Vout1&lt;&gt;0,Iout1&lt;&gt;0),(SQRT((2*ABS(Vout1)*Iout1)/(Fsw*Lm_Flyback_DCM*((Ns1_Flyback/Np)^2)))),0)</f>
        <v>4.2182002971133556</v>
      </c>
      <c r="W4" s="21">
        <f>IF(AND(Vout1&lt;&gt;0,Iout1&lt;&gt;0),SQRT(U4/3)*V4,0)</f>
        <v>1.185776861683703</v>
      </c>
      <c r="X4" s="63">
        <f>IF(AND(Vout1&lt;&gt;0,Iout1&lt;&gt;0),SQRT(((W4^2)-(Iout1^2))),0)</f>
        <v>1.0752054527877226</v>
      </c>
      <c r="Y4" s="54">
        <f t="shared" ref="Y4:Y35" si="3">IF(AND(Vout2&lt;&gt;0,Iout2&lt;&gt;0),(Lm_Flyback_DCM*((Ns2_Flyback/Np)^2)*Fsw*Z4)/ABS(Vout2),0)</f>
        <v>0.23706792697452767</v>
      </c>
      <c r="Z4" s="21">
        <f t="shared" ref="Z4:Z35" si="4">IF(AND(Vout2&lt;&gt;0,Iout2&lt;&gt;0),(SQRT((2*ABS(Vout2)*Iout2)/(Fsw*Lm_Flyback_DCM*((Ns2_Flyback/Np)^2)))),0)</f>
        <v>4.2182002971133556</v>
      </c>
      <c r="AA4" s="21">
        <f>IF(AND(Vout2&lt;&gt;0,Iout2&lt;&gt;0),Z4*SQRT(Y4/3),0)</f>
        <v>1.185776861683703</v>
      </c>
      <c r="AB4" s="63">
        <f>IF(AND(Vout2&lt;&gt;0,Iout2&lt;&gt;0),SQRT((AA4^2)-(Iout2^2)),0)</f>
        <v>1.0752054527877226</v>
      </c>
      <c r="AC4" s="52">
        <f t="shared" ref="AC4:AC35" si="5">IF(AND(Vout3&lt;&gt;0,Iout3&lt;&gt;0),(Lm_Flyback_DCM*((Ns3_Flyback/Np)^2)*Fsw*AD4)/ABS(Vout3),0)</f>
        <v>0</v>
      </c>
      <c r="AD4" s="21">
        <f t="shared" ref="AD4:AD35" si="6">IF(AND(Vout3&lt;&gt;0,Iout3&lt;&gt;0),(SQRT((2*ABS(Vout3)*Iout3)/(Fsw*Lm_Flyback_DCM*((Ns3_Flyback/Np)^2)))),0)</f>
        <v>0</v>
      </c>
      <c r="AE4" s="21">
        <f>IF(AND(Vout3&lt;&gt;0,Iout3&lt;&gt;0),SQRT(AC4/3)*AD4,0)</f>
        <v>0</v>
      </c>
      <c r="AF4" s="63">
        <f>IF(AND(Vout3&lt;&gt;0,Iout3&lt;&gt;0),SQRT((AD4^2)-(Iout3^2)),0)</f>
        <v>0</v>
      </c>
      <c r="AG4" s="52">
        <f t="shared" ref="AG4:AG35" si="7">IF(AND(Vout4&lt;&gt;0,Iout4&lt;&gt;0),(Lm_Flyback_DCM*((Ns4_Flyback/Np)^2)*Fsw*AH4)/ABS(Vout4),0)</f>
        <v>0</v>
      </c>
      <c r="AH4" s="21">
        <f t="shared" ref="AH4:AH35" si="8">IF(AND(Vout4&lt;&gt;0,Iout4&lt;&gt;0),(SQRT((2*ABS(Vout4)*Iout4)/(Fsw*Lm_Flyback_DCM*((Ns4_Flyback/Np)^2)))),0)</f>
        <v>0</v>
      </c>
      <c r="AI4" s="21">
        <f>IF(AND(Vout4&lt;&gt;0,Iout4&lt;&gt;0),SQRT(AG4/3)*AH4,0)</f>
        <v>0</v>
      </c>
      <c r="AJ4" s="63">
        <f>IF(AND(Vout4&lt;&gt;0,Iout4&lt;&gt;0),SQRT((AI4^2)-(Iout4^2)),0)</f>
        <v>0</v>
      </c>
      <c r="AK4" s="52">
        <f t="shared" ref="AK4:AK35" si="9">IF(AND(Vout5&lt;&gt;0,Iout5&lt;&gt;0),(Lm_Flyback_DCM*((Ns5_Flyback/Np)^2)*Fsw*AL4)/ABS(Vout5),0)</f>
        <v>0</v>
      </c>
      <c r="AL4" s="21">
        <f t="shared" ref="AL4:AL35" si="10">IF(AND(Vout5&lt;&gt;0,Iout5&lt;&gt;0),(SQRT((2*ABS(Vout5)*Iout5)/(Fsw*Lm_Flyback_DCM*((Ns5_Flyback/Np)^2)))),0)</f>
        <v>0</v>
      </c>
      <c r="AM4" s="21">
        <f>IF(AND(Vout5&lt;&gt;0,Iout5&lt;&gt;0),SQRT(AK4/3)*AL4,0)</f>
        <v>0</v>
      </c>
      <c r="AN4" s="63">
        <f>IF(AND(Vout5&lt;&gt;0,Iout5&lt;&gt;0),SQRT((AM4^2)-(Iout5^2)),0)</f>
        <v>0</v>
      </c>
      <c r="AO4" s="52">
        <f>IF(AND(Vout6&lt;&gt;0,Iout6&lt;&gt;0),(Lm_Flyback_DCM*((Ns6_Flyback/Np)^2)*Fsw*AP4)/ABS(Vout6),0)</f>
        <v>0</v>
      </c>
      <c r="AP4" s="21">
        <f t="shared" ref="AP4:AP35" si="11">IF(AND(Vout6&lt;&gt;0,Iout6&lt;&gt;0),(SQRT((2*ABS(Vout6)*Iout6)/(Fsw*Lm_Flyback_DCM*((Ns6_Flyback/Np)^2)))),0)</f>
        <v>0</v>
      </c>
      <c r="AQ4" s="21">
        <f>IF(AND(Vout6&lt;&gt;0,Iout6&lt;&gt;0),SQRT(AO4/3)*AP4,0)</f>
        <v>0</v>
      </c>
      <c r="AR4" s="181">
        <f>IF(AND(Vout6&lt;&gt;0,Iout6&lt;&gt;0),SQRT((AQ4^2)-(Iout6^2)),0)</f>
        <v>0</v>
      </c>
      <c r="AS4" s="183">
        <f t="shared" ref="AS4:AS35" si="12">IF(AND(VOUTAUX&lt;&gt;0,IoutAux&lt;&gt;0),(Lm_Flyback_DCM*((NsAux_Flyback/Np)^2)*Fsw*AT4)/ABS(VOUTAUX),0)</f>
        <v>0.15133499330954489</v>
      </c>
      <c r="AT4" s="184">
        <f t="shared" ref="AT4:AT35" si="13">IF(AND(VOUTAUX&lt;&gt;0,IoutAux&lt;&gt;0),(SQRT((2*ABS(VOUTAUX)*IoutAux)/(Fsw*Lm_Flyback_DCM*((NsAux_Flyback/Np)^2)))),0)</f>
        <v>1.3215714067592701</v>
      </c>
      <c r="AU4" s="184">
        <f t="shared" ref="AU4:AU35" si="14">IF(AND(VOUTAUX&lt;&gt;0,IoutAux&lt;&gt;0),SQRT(AS4/3)*AT4,0)</f>
        <v>0.2968244606676107</v>
      </c>
      <c r="AV4" s="61">
        <f t="shared" ref="AV4:AV35" si="15">IF(AND(VOUTAUX&lt;&gt;0,IoutAux&lt;&gt;0),SQRT((AU4^2)-(IoutAux^2)),0)</f>
        <v>0.2794722892356557</v>
      </c>
      <c r="AW4" s="182">
        <f>(L4*N4*(10^4))/(2*Np_T_Flyback_DCM*(Ae_Flyback_DCM/100)*Fsw)</f>
        <v>9.2209184765179461E-2</v>
      </c>
      <c r="AX4" s="52">
        <f>CM_3F35*(Fsw^x_3F35)*(AW4^y_3F35)*(TC_3F35)</f>
        <v>0</v>
      </c>
      <c r="AY4" s="74">
        <f>AX4*(Ve_Flyback_CCM/1000)</f>
        <v>0</v>
      </c>
      <c r="AZ4" s="78">
        <f>CM_3F36*(Fsw^x_3F36)*(AW4^y_3F36)*(TC_3F36)</f>
        <v>0</v>
      </c>
      <c r="BA4" s="87">
        <f>CM_3F36*(Fsw^x_3F36)*(AW4^y_3F36)*(TC_3F36)</f>
        <v>0</v>
      </c>
      <c r="BB4" s="110">
        <f>CM_3C92*(Fsw^x_3C92)*(AW4^y_3C92)*(TC_3C92)/1000</f>
        <v>389.58111577303015</v>
      </c>
      <c r="BC4" s="69">
        <f>(Ve_Flyback_CCM/1000)*BB4/1000</f>
        <v>0.29218583682977262</v>
      </c>
      <c r="BD4" s="42">
        <f>(CM_3C96*(Fsw^x_3C96)*(AW4^y_3C96)*(TC_3C96))/1000</f>
        <v>375.77078305839683</v>
      </c>
      <c r="BE4" s="79">
        <f>((Ve_Flyback_CCM/1000)*BD4)/1000</f>
        <v>0.28182808729379766</v>
      </c>
      <c r="BF4" s="117">
        <f t="shared" ref="BF4:BF35" si="16">(M4^2)*RdcPri_Flyback_DCM</f>
        <v>1.7915306968500636E-2</v>
      </c>
      <c r="BG4" s="118">
        <f t="shared" ref="BG4:BG35" si="17">RacPri_Flyback_DCM*(T4^2)</f>
        <v>4.7502144706681321E-2</v>
      </c>
      <c r="BH4" s="117">
        <f t="shared" ref="BH4:BH35" si="18">IF(AND(Vout1&lt;&gt;0,Iout1&lt;&gt;0),Rdc1_Flyback_DCM*(Iout1^2),0)</f>
        <v>6.1943381790359594E-4</v>
      </c>
      <c r="BI4" s="118">
        <f t="shared" ref="BI4:BI35" si="19">IF(AND(Vout1&lt;&gt;0,Iout1&lt;&gt;0),Rac1_Flyback_DCM*(X4^2),0)</f>
        <v>2.6865194238630905E-2</v>
      </c>
      <c r="BJ4" s="117">
        <f t="shared" ref="BJ4:BJ35" si="20">IF(AND(Vout2&lt;&gt;0,Iout2&lt;&gt;0),Rdc2_Flyback_DCM*(Iout2^2),0)</f>
        <v>6.1943381790359594E-4</v>
      </c>
      <c r="BK4" s="118">
        <f t="shared" ref="BK4:BK35" si="21">IF(AND(Vout2&lt;&gt;0,Iout2&lt;&gt;0),Rac2_Flyback_DCM*(AB4^2),0)</f>
        <v>2.6865194238630905E-2</v>
      </c>
      <c r="BL4" s="91">
        <f t="shared" ref="BL4:BL35" si="22">IF(AND(Vout3&lt;&gt;0,Iout3&lt;&gt;0),Rdc3_Flyback_DCM*(Iout3^2),0)</f>
        <v>0</v>
      </c>
      <c r="BM4" s="93">
        <f t="shared" ref="BM4:BM35" si="23">IF(AND(Vout3&lt;&gt;0,Iout3&lt;&gt;0),Rac3_Flyback_DCM*(AF4^2),0)</f>
        <v>0</v>
      </c>
      <c r="BN4" s="91">
        <f t="shared" ref="BN4:BN35" si="24">IF(AND(Vout4&lt;&gt;0,Iout4&lt;&gt;0),Rdc4_Flyback_DCM*(Iout4^2),0)</f>
        <v>0</v>
      </c>
      <c r="BO4" s="93">
        <f t="shared" ref="BO4:BO35" si="25">IF(AND(Vout4&lt;&gt;0,Iout4&lt;&gt;0),Rac4_Flyback_DCM*(AJ4^2),0)</f>
        <v>0</v>
      </c>
      <c r="BP4" s="91">
        <f t="shared" ref="BP4:BP35" si="26">IF(AND(Vout5&lt;&gt;0,Iout5&lt;&gt;0),Rdc5_Flyback_DCM*(Iout5^2),0)</f>
        <v>0</v>
      </c>
      <c r="BQ4" s="93">
        <f t="shared" ref="BQ4:BQ35" si="27">IF(AND(Vout5&lt;&gt;0,Iout5&lt;&gt;0),Rac5_Flyback_DCM*(AN4^2),0)</f>
        <v>0</v>
      </c>
      <c r="BR4" s="91">
        <f t="shared" ref="BR4:BR35" si="28">IF(AND(Vout6&lt;&gt;0,Iout6&lt;&gt;0),Rdc6_Flyback_DCM*(Iout6^2),0)</f>
        <v>0</v>
      </c>
      <c r="BS4" s="93">
        <f t="shared" ref="BS4:BS35" si="29">IF(AND(Vout6&lt;&gt;0,Iout6&lt;&gt;0),Rac6_Flyback_DCM*(AR4^2),0)</f>
        <v>0</v>
      </c>
      <c r="BT4" s="188">
        <f t="shared" ref="BT4:BT35" si="30">IF(AND(VOUTAUX&lt;&gt;0,IoutAux&lt;&gt;0),RdcAUX_Flyback_DCM*(IoutAux^2),0)</f>
        <v>4.7302218821729144E-5</v>
      </c>
      <c r="BU4" s="93">
        <f t="shared" ref="BU4:BU35" si="31">IF(AND(VOUTAUX&lt;&gt;0,IoutAux&lt;&gt;0),RacAUX_Flyback_DCM*(AV4^2),0)</f>
        <v>3.4650633806579114E-3</v>
      </c>
      <c r="BV4" s="117">
        <f>SUM(BF4:BU4)</f>
        <v>0.12389907338773058</v>
      </c>
      <c r="BW4" s="206">
        <f>BV4+AY4</f>
        <v>0.12389907338773058</v>
      </c>
      <c r="BX4" s="206">
        <f>BV4+BA4</f>
        <v>0.12389907338773058</v>
      </c>
      <c r="BY4" s="97">
        <f>BV4+BC4</f>
        <v>0.41608491021750321</v>
      </c>
      <c r="BZ4" s="123">
        <f>BV4+BE4</f>
        <v>0.40572716068152825</v>
      </c>
      <c r="CA4" s="91">
        <f>(M4^2)*$B$99</f>
        <v>3.8408779149519887E-2</v>
      </c>
      <c r="CB4" s="92">
        <f t="shared" ref="CB4:CB35" si="32">IF(AND(Vout1&lt;&gt;0,Iout1&lt;&gt;0),(Iout1^2)*$B$100,0)</f>
        <v>2.5000000000000001E-3</v>
      </c>
      <c r="CC4" s="92">
        <f t="shared" ref="CC4:CC35" si="33">IF(AND(Vout2&lt;&gt;0,Iout2&lt;&gt;0),(Iout2^2)*$B$101,0)</f>
        <v>2.5000000000000001E-3</v>
      </c>
      <c r="CD4" s="92">
        <f t="shared" ref="CD4:CD35" si="34">IF(AND(Vout3&lt;&gt;0,Iout3&lt;&gt;0),(Iout3^2)*$B$102,0)</f>
        <v>0</v>
      </c>
      <c r="CE4" s="92">
        <f t="shared" ref="CE4:CE35" si="35">IF(AND(Vout4&lt;&gt;0,Iout4&lt;&gt;0),(Iout4^2)*$B$103,0)</f>
        <v>0</v>
      </c>
      <c r="CF4" s="92">
        <f t="shared" ref="CF4:CF35" si="36">IF(AND(Vout5&lt;&gt;0,Iout5&lt;&gt;0),(Iout5^2)*$B$104,0)</f>
        <v>0</v>
      </c>
      <c r="CG4" s="92">
        <f t="shared" ref="CG4:CG35" si="37">IF(AND(Vout6&lt;&gt;0,Iout6&lt;&gt;0),(Iout6^2)*$B$105,0)</f>
        <v>0</v>
      </c>
      <c r="CH4" s="92">
        <f t="shared" ref="CH4:CH35" si="38">IF(AND(VOUTAUX&lt;&gt;0,IoutAux&lt;&gt;0),(IoutAux^2)*$B$106,0)</f>
        <v>1.0000000000000002E-4</v>
      </c>
      <c r="CI4" s="127">
        <f>SUM(CA4:CH4)</f>
        <v>4.3508779149519894E-2</v>
      </c>
      <c r="CJ4" s="91">
        <f>(M4^2)*$B$87</f>
        <v>2.7434842249657062E-3</v>
      </c>
      <c r="CK4" s="92">
        <f t="shared" ref="CK4:CK35" si="39">0.5*M4*L4*Fsw*T_Rise_Fall</f>
        <v>0.03</v>
      </c>
      <c r="CL4" s="92">
        <f t="shared" ref="CL4:CL35" si="40">$B$88*$B$79*Fsw</f>
        <v>0.11549999999999999</v>
      </c>
      <c r="CM4" s="127">
        <f>SUM(CJ4:CL4)</f>
        <v>0.14824348422496569</v>
      </c>
      <c r="CN4" s="91">
        <f t="shared" ref="CN4:CN35" si="41">IF(AND(Iout1&lt;&gt;0,Vout1&lt;&gt;0),Iout1*Vdiode1,0)</f>
        <v>0.15</v>
      </c>
      <c r="CO4" s="92">
        <f t="shared" ref="CO4:CO35" si="42">IF(AND(Iout2&lt;&gt;0,Vout2&lt;&gt;0),Iout2*Vdiode2,0)</f>
        <v>0.15</v>
      </c>
      <c r="CP4" s="92">
        <f t="shared" ref="CP4:CP35" si="43">IF(AND(Iout3&lt;&gt;0,Vout3&lt;&gt;0),Iout3*Vdiode3,0)</f>
        <v>0</v>
      </c>
      <c r="CQ4" s="92">
        <f t="shared" ref="CQ4:CQ35" si="44">IF(AND(Iout4&lt;&gt;0,Vout4&lt;&gt;0),Iout4*Vdiode4,0)</f>
        <v>0</v>
      </c>
      <c r="CR4" s="92">
        <f t="shared" ref="CR4:CR35" si="45">IF(AND(Iout5&lt;&gt;0,Vout5&lt;&gt;0),Iout5*Vdiode5,0)</f>
        <v>0</v>
      </c>
      <c r="CS4" s="92">
        <f t="shared" ref="CS4:CS35" si="46">IF(AND(Iout6&lt;&gt;0,Vout6&lt;&gt;0),Iout6*Vdiode6,0)</f>
        <v>0</v>
      </c>
      <c r="CT4" s="92">
        <f t="shared" ref="CT4:CT35" si="47">IF(AND(IoutAux&lt;&gt;0,VOUTAUX&lt;&gt;0),IoutAux*VdiodeAux,0)</f>
        <v>0.03</v>
      </c>
      <c r="CU4" s="127">
        <f t="shared" ref="CU4:CU35" si="48">SUM(CN4:CT4)</f>
        <v>0.32999999999999996</v>
      </c>
      <c r="CV4" s="231">
        <f t="shared" ref="CV4:CV35" si="49">IF(AND(Vout1&lt;&gt;0,Ns1_Flyback&lt;&gt;0),0.5*(Q4^2)*LL_Flyback_DCM*Fsw*((Vclamp_Flyback_DCM-L4)/((Vclamp_Flyback_DCM-L4)+((Np/Ns1_Flyback)*ABS(Vout1)))),0)</f>
        <v>0.74529018002456127</v>
      </c>
      <c r="CW4" s="188">
        <f t="shared" ref="CW4:CW35" si="50">CI4+CM4+CV4+CU4</f>
        <v>1.2670424433990468</v>
      </c>
      <c r="CX4" s="206">
        <f t="shared" ref="CX4:CX35" si="51">Pout_Flyback+CW4</f>
        <v>7.2670424433990473</v>
      </c>
      <c r="CY4" s="231">
        <f t="shared" ref="CY4:CY35" si="52">Pout_Flyback/CX4</f>
        <v>0.82564537729513965</v>
      </c>
      <c r="CZ4">
        <f t="shared" ref="CZ4:CZ35" si="53">L4+(ABS(Vout1)*(Np/Ns1_Flyback))</f>
        <v>17.488964346349746</v>
      </c>
      <c r="DA4">
        <f t="shared" ref="DA4:DA35" si="54">IF(AND(Vout1&lt;&gt;0,Ns1_Flyback&lt;&gt;0),L4+(ABS(Vout1)*(Np/Ns1_Flyback))*(Q4*SQRT(LL_Flyback_DCM/Coss_Flyback_DCM)),0)</f>
        <v>634.66021323437087</v>
      </c>
      <c r="DD4" s="22">
        <v>1</v>
      </c>
      <c r="DE4" s="22">
        <f>DD4*2*PI()</f>
        <v>6.2831853071795862</v>
      </c>
      <c r="DF4" s="91">
        <f>20*LOG(IMABS(IMDIV(COMPLEX(1,DE4/$B$112),COMPLEX(1,DE4/$B$111)))*$B$110)</f>
        <v>27.692986670106514</v>
      </c>
      <c r="DG4" s="93">
        <f>IMARGUMENT(IMDIV(COMPLEX(1,DE4/$B$112),COMPLEX(1,DE4/$B$111)))*(180/PI())</f>
        <v>-3.5927995262591078E-2</v>
      </c>
      <c r="DH4" s="91">
        <f>20*LOG(IMABS(IMDIV(COMPLEX(1,DE4/$B$121),IMPRODUCT(COMPLEX(1,DE4/$B$120),COMPLEX(0,DE4))))*$B$119)</f>
        <v>32.3087514384356</v>
      </c>
      <c r="DI4" s="92">
        <f>IMARGUMENT(IMDIV(COMPLEX(-1,-DE4/$B$121),IMPRODUCT(COMPLEX(1,DE4/$B$120),COMPLEX(0,DE4))))*(180/PI())</f>
        <v>90.084981534736855</v>
      </c>
      <c r="DJ4" s="92">
        <f>20*LOG(IMABS(IMDIV(COMPLEX(1,$B$116/DE4),COMPLEX(1,DE4/$B$115)))*$B$117)</f>
        <v>30.126778976952416</v>
      </c>
      <c r="DK4" s="93">
        <f>IMARGUMENT(IMDIV(COMPLEX(-1,-$B$116/-DE4),COMPLEX(1,DE4/$B$115)))*(180/PI())</f>
        <v>90.085253334510284</v>
      </c>
      <c r="DL4" s="91">
        <f>DH4+DF4</f>
        <v>60.001738108542114</v>
      </c>
      <c r="DM4" s="92">
        <f>DI4+DG4</f>
        <v>90.049053539474258</v>
      </c>
      <c r="DN4" s="92">
        <f>DF4+DJ4</f>
        <v>57.819765647058929</v>
      </c>
      <c r="DO4" s="93">
        <f>DG4+DK4</f>
        <v>90.049325339247687</v>
      </c>
    </row>
    <row r="5" spans="1:119" x14ac:dyDescent="0.25">
      <c r="A5" t="s">
        <v>292</v>
      </c>
      <c r="B5" s="21">
        <f>SQRT((2*Lm_Flyback_DCM*Fsw*Pout_Flyback)/((VinMax^2)*eff))</f>
        <v>6.8465319688145759E-2</v>
      </c>
      <c r="C5" s="12"/>
      <c r="K5" s="58">
        <v>1</v>
      </c>
      <c r="L5" s="131">
        <f t="shared" ref="L5:L54" si="55">VinMin+(K5*DC_Step)</f>
        <v>9.7799999999999994</v>
      </c>
      <c r="M5" s="130">
        <f t="shared" ref="M5:M54" si="56">P5*N5</f>
        <v>0.68166325835037489</v>
      </c>
      <c r="N5" s="132">
        <f t="shared" si="0"/>
        <v>0.33602610889887491</v>
      </c>
      <c r="O5" s="52">
        <f t="shared" ref="O5:O54" si="57">SQRT((2*Lm_Flyback_DCM*Fsw*0.5*Pout_Flyback)/((L5^2)*eff))</f>
        <v>0.23760634025812374</v>
      </c>
      <c r="P5" s="21">
        <f t="shared" ref="P5:P54" si="58">Pout_Flyback/(L5*N5*eff)</f>
        <v>2.0286020648339487</v>
      </c>
      <c r="Q5" s="19">
        <f t="shared" ref="Q5:Q54" si="59">(L5*N5)/(Lm_Flyback_DCM*Fsw)</f>
        <v>4.0572041296678973</v>
      </c>
      <c r="R5" s="6">
        <f t="shared" si="1"/>
        <v>3.1076223856558975</v>
      </c>
      <c r="S5" s="55">
        <f t="shared" ref="S5:S54" si="60">Q5*SQRT(N5/3)</f>
        <v>1.3578529588587065</v>
      </c>
      <c r="T5" s="133">
        <f t="shared" ref="T5:T54" si="61">SQRT((S5^2)-(M5^2))</f>
        <v>1.1743508249652206</v>
      </c>
      <c r="U5" s="54">
        <f t="shared" si="2"/>
        <v>0.23706792697452767</v>
      </c>
      <c r="V5" s="21">
        <f t="shared" ref="V5:V35" si="62">IF(AND(Vout1&lt;&gt;0,Iout1&lt;&gt;0),(SQRT((2*ABS(Vout1)*Iout1)/(Fsw*Lm_Flyback_DCM*((Ns1_Flyback/Np)^2)))),0)</f>
        <v>4.2182002971133556</v>
      </c>
      <c r="W5" s="21">
        <f t="shared" ref="W5:W54" si="63">IF(AND(Vout1&lt;&gt;0,Iout1&lt;&gt;0),SQRT(U5/3)*V5,0)</f>
        <v>1.185776861683703</v>
      </c>
      <c r="X5" s="63">
        <f t="shared" ref="X5:X54" si="64">IF(AND(Vout1&lt;&gt;0,Iout1&lt;&gt;0),SQRT(((W5^2)-(Iout1^2))),0)</f>
        <v>1.0752054527877226</v>
      </c>
      <c r="Y5" s="54">
        <f t="shared" si="3"/>
        <v>0.23706792697452767</v>
      </c>
      <c r="Z5" s="21">
        <f t="shared" si="4"/>
        <v>4.2182002971133556</v>
      </c>
      <c r="AA5" s="21">
        <f t="shared" ref="AA5:AA54" si="65">IF(AND(Vout2&lt;&gt;0,Iout2&lt;&gt;0),Z5*SQRT(Y5/3),0)</f>
        <v>1.185776861683703</v>
      </c>
      <c r="AB5" s="63">
        <f t="shared" ref="AB5:AB54" si="66">IF(AND(Vout2&lt;&gt;0,Iout2&lt;&gt;0),SQRT((AA5^2)-(Iout2^2)),0)</f>
        <v>1.0752054527877226</v>
      </c>
      <c r="AC5" s="52">
        <f t="shared" si="5"/>
        <v>0</v>
      </c>
      <c r="AD5" s="21">
        <f t="shared" si="6"/>
        <v>0</v>
      </c>
      <c r="AE5" s="21">
        <f t="shared" ref="AE5:AE54" si="67">IF(AND(Vout3&lt;&gt;0,Iout3&lt;&gt;0),SQRT(AC5/3)*AD5,0)</f>
        <v>0</v>
      </c>
      <c r="AF5" s="63">
        <f t="shared" ref="AF5:AF54" si="68">IF(AND(Vout3&lt;&gt;0,Iout3&lt;&gt;0),SQRT((AD5^2)-(Iout3^2)),0)</f>
        <v>0</v>
      </c>
      <c r="AG5" s="52">
        <f t="shared" si="7"/>
        <v>0</v>
      </c>
      <c r="AH5" s="21">
        <f t="shared" si="8"/>
        <v>0</v>
      </c>
      <c r="AI5" s="21">
        <f t="shared" ref="AI5:AI54" si="69">IF(AND(Vout4&lt;&gt;0,Iout4&lt;&gt;0),SQRT(AG5/3)*AH5,0)</f>
        <v>0</v>
      </c>
      <c r="AJ5" s="63">
        <f t="shared" ref="AJ5:AJ54" si="70">IF(AND(Vout4&lt;&gt;0,Iout4&lt;&gt;0),SQRT((AI5^2)-(Iout4^2)),0)</f>
        <v>0</v>
      </c>
      <c r="AK5" s="52">
        <f t="shared" si="9"/>
        <v>0</v>
      </c>
      <c r="AL5" s="21">
        <f t="shared" si="10"/>
        <v>0</v>
      </c>
      <c r="AM5" s="21">
        <f t="shared" ref="AM5:AM54" si="71">IF(AND(Vout5&lt;&gt;0,Iout5&lt;&gt;0),SQRT(AK5/3)*AL5,0)</f>
        <v>0</v>
      </c>
      <c r="AN5" s="63">
        <f t="shared" ref="AN5:AN54" si="72">IF(AND(Vout5&lt;&gt;0,Iout5&lt;&gt;0),SQRT((AM5^2)-(Iout5^2)),0)</f>
        <v>0</v>
      </c>
      <c r="AO5" s="52">
        <f t="shared" ref="AO5:AO35" si="73">IF(AND(Vout6&lt;&gt;0,Iout6&lt;&gt;0),(Lm_Flyback_DCM*((Ns6_Flyback/Np)^2)*Fsw*AP5)/ABS(Vout6),0)</f>
        <v>0</v>
      </c>
      <c r="AP5" s="21">
        <f t="shared" si="11"/>
        <v>0</v>
      </c>
      <c r="AQ5" s="21">
        <f t="shared" ref="AQ5:AQ54" si="74">IF(AND(Vout6&lt;&gt;0,Iout6&lt;&gt;0),SQRT(AO5/3)*AP5,0)</f>
        <v>0</v>
      </c>
      <c r="AR5" s="181">
        <f t="shared" ref="AR5:AR54" si="75">IF(AND(Vout6&lt;&gt;0,Iout6&lt;&gt;0),SQRT((AQ5^2)-(Iout6^2)),0)</f>
        <v>0</v>
      </c>
      <c r="AS5" s="52">
        <f t="shared" si="12"/>
        <v>0.15133499330954489</v>
      </c>
      <c r="AT5" s="21">
        <f t="shared" si="13"/>
        <v>1.3215714067592701</v>
      </c>
      <c r="AU5" s="21">
        <f t="shared" si="14"/>
        <v>0.2968244606676107</v>
      </c>
      <c r="AV5" s="63">
        <f t="shared" si="15"/>
        <v>0.2794722892356557</v>
      </c>
      <c r="AW5" s="182">
        <f t="shared" ref="AW5:AW54" si="76">(L5*N5*(10^4))/(2*Np_T_Flyback_DCM*(Ae_Flyback_DCM/100)*Fsw)</f>
        <v>9.2209184765179461E-2</v>
      </c>
      <c r="AX5" s="52">
        <f t="shared" ref="AX5:AX54" si="77">CM_3F35*(Fsw^x_3F35)*(AW5^y_3F35)*(TC_3F35)</f>
        <v>0</v>
      </c>
      <c r="AY5" s="74">
        <f t="shared" ref="AY5:AY54" si="78">AX5*(Ve_Flyback_CCM/1000)</f>
        <v>0</v>
      </c>
      <c r="AZ5" s="78">
        <f t="shared" ref="AZ5:AZ54" si="79">CM_3F36*(Fsw^x_3F36)*(AW5^y_3F36)*(TC_3F36)</f>
        <v>0</v>
      </c>
      <c r="BA5" s="87">
        <f t="shared" ref="BA5:BA54" si="80">CM_3F36*(Fsw^x_3F36)*(AW5^y_3F36)*(TC_3F36)</f>
        <v>0</v>
      </c>
      <c r="BB5" s="110">
        <f t="shared" ref="BB5:BB54" si="81">CM_3C92*(Fsw^x_3C92)*(AW5^y_3C92)*(TC_3C92)/1000</f>
        <v>389.58111577303015</v>
      </c>
      <c r="BC5" s="69">
        <f t="shared" ref="BC5:BC54" si="82">(Ve_Flyback_CCM/1000)*BB5/1000</f>
        <v>0.29218583682977262</v>
      </c>
      <c r="BD5" s="42">
        <f t="shared" ref="BD5:BD54" si="83">(CM_3C96*(Fsw^x_3C96)*(AW5^y_3C96)*(TC_3C96))/1000</f>
        <v>375.77078305839683</v>
      </c>
      <c r="BE5" s="79">
        <f t="shared" ref="BE5:BE54" si="84">((Ve_Flyback_CCM/1000)*BD5)/1000</f>
        <v>0.28182808729379766</v>
      </c>
      <c r="BF5" s="117">
        <f t="shared" si="16"/>
        <v>1.5171606262609218E-2</v>
      </c>
      <c r="BG5" s="118">
        <f t="shared" si="17"/>
        <v>4.5028502640932472E-2</v>
      </c>
      <c r="BH5" s="117">
        <f t="shared" si="18"/>
        <v>6.1943381790359594E-4</v>
      </c>
      <c r="BI5" s="118">
        <f t="shared" si="19"/>
        <v>2.6865194238630905E-2</v>
      </c>
      <c r="BJ5" s="117">
        <f t="shared" si="20"/>
        <v>6.1943381790359594E-4</v>
      </c>
      <c r="BK5" s="118">
        <f t="shared" si="21"/>
        <v>2.6865194238630905E-2</v>
      </c>
      <c r="BL5" s="91">
        <f t="shared" si="22"/>
        <v>0</v>
      </c>
      <c r="BM5" s="93">
        <f t="shared" si="23"/>
        <v>0</v>
      </c>
      <c r="BN5" s="91">
        <f t="shared" si="24"/>
        <v>0</v>
      </c>
      <c r="BO5" s="93">
        <f t="shared" si="25"/>
        <v>0</v>
      </c>
      <c r="BP5" s="91">
        <f t="shared" si="26"/>
        <v>0</v>
      </c>
      <c r="BQ5" s="93">
        <f t="shared" si="27"/>
        <v>0</v>
      </c>
      <c r="BR5" s="91">
        <f t="shared" si="28"/>
        <v>0</v>
      </c>
      <c r="BS5" s="93">
        <f t="shared" si="29"/>
        <v>0</v>
      </c>
      <c r="BT5" s="188">
        <f t="shared" si="30"/>
        <v>4.7302218821729144E-5</v>
      </c>
      <c r="BU5" s="93">
        <f t="shared" si="31"/>
        <v>3.4650633806579114E-3</v>
      </c>
      <c r="BV5" s="117">
        <f t="shared" ref="BV5:BV54" si="85">SUM(BF5:BU5)</f>
        <v>0.11868173061609032</v>
      </c>
      <c r="BW5" s="206">
        <f t="shared" ref="BW5:BW54" si="86">BV5+AY5</f>
        <v>0.11868173061609032</v>
      </c>
      <c r="BX5" s="206">
        <f t="shared" ref="BX5:BX54" si="87">BV5+BA5</f>
        <v>0.11868173061609032</v>
      </c>
      <c r="BY5" s="97">
        <f t="shared" ref="BY5:BY54" si="88">BV5+BC5</f>
        <v>0.41086756744586295</v>
      </c>
      <c r="BZ5" s="123">
        <f t="shared" ref="BZ5:BZ54" si="89">BV5+BE5</f>
        <v>0.40050981790988799</v>
      </c>
      <c r="CA5" s="91">
        <f t="shared" ref="CA5:CA54" si="90">(M5^2)*$B$99</f>
        <v>3.2526535844939496E-2</v>
      </c>
      <c r="CB5" s="92">
        <f t="shared" si="32"/>
        <v>2.5000000000000001E-3</v>
      </c>
      <c r="CC5" s="92">
        <f t="shared" si="33"/>
        <v>2.5000000000000001E-3</v>
      </c>
      <c r="CD5" s="92">
        <f t="shared" si="34"/>
        <v>0</v>
      </c>
      <c r="CE5" s="92">
        <f t="shared" si="35"/>
        <v>0</v>
      </c>
      <c r="CF5" s="92">
        <f t="shared" si="36"/>
        <v>0</v>
      </c>
      <c r="CG5" s="92">
        <f t="shared" si="37"/>
        <v>0</v>
      </c>
      <c r="CH5" s="92">
        <f t="shared" si="38"/>
        <v>1.0000000000000002E-4</v>
      </c>
      <c r="CI5" s="127">
        <f t="shared" ref="CI5:CI54" si="91">SUM(CA5:CH5)</f>
        <v>3.7626535844939503E-2</v>
      </c>
      <c r="CJ5" s="91">
        <f t="shared" ref="CJ5:CJ54" si="92">(M5^2)*$B$87</f>
        <v>2.3233239889242497E-3</v>
      </c>
      <c r="CK5" s="92">
        <f t="shared" si="39"/>
        <v>0.03</v>
      </c>
      <c r="CL5" s="92">
        <f t="shared" si="40"/>
        <v>0.11549999999999999</v>
      </c>
      <c r="CM5" s="127">
        <f t="shared" ref="CM5:CM54" si="93">SUM(CJ5:CL5)</f>
        <v>0.14782332398892423</v>
      </c>
      <c r="CN5" s="91">
        <f t="shared" si="41"/>
        <v>0.15</v>
      </c>
      <c r="CO5" s="92">
        <f t="shared" si="42"/>
        <v>0.15</v>
      </c>
      <c r="CP5" s="92">
        <f t="shared" si="43"/>
        <v>0</v>
      </c>
      <c r="CQ5" s="92">
        <f t="shared" si="44"/>
        <v>0</v>
      </c>
      <c r="CR5" s="92">
        <f t="shared" si="45"/>
        <v>0</v>
      </c>
      <c r="CS5" s="92">
        <f t="shared" si="46"/>
        <v>0</v>
      </c>
      <c r="CT5" s="92">
        <f t="shared" si="47"/>
        <v>0.03</v>
      </c>
      <c r="CU5" s="127">
        <f t="shared" si="48"/>
        <v>0.32999999999999996</v>
      </c>
      <c r="CV5" s="231">
        <f t="shared" si="49"/>
        <v>0.74474079511818025</v>
      </c>
      <c r="CW5" s="188">
        <f t="shared" si="50"/>
        <v>1.2601906549520439</v>
      </c>
      <c r="CX5" s="206">
        <f t="shared" si="51"/>
        <v>7.2601906549520443</v>
      </c>
      <c r="CY5" s="231">
        <f t="shared" si="52"/>
        <v>0.8264245782454086</v>
      </c>
      <c r="CZ5">
        <f t="shared" si="53"/>
        <v>18.268964346349748</v>
      </c>
      <c r="DA5">
        <f t="shared" si="54"/>
        <v>635.44021323437084</v>
      </c>
      <c r="DD5" s="22">
        <v>2</v>
      </c>
      <c r="DE5" s="22">
        <f t="shared" ref="DE5:DE59" si="94">DD5*2*PI()</f>
        <v>12.566370614359172</v>
      </c>
      <c r="DF5" s="91">
        <f t="shared" ref="DF5:DF59" si="95">20*LOG(IMABS(IMDIV(COMPLEX(1,DE5/$B$112),COMPLEX(1,DE5/$B$111)))*$B$110)</f>
        <v>27.692981526554487</v>
      </c>
      <c r="DG5" s="93">
        <f t="shared" ref="DG5:DG59" si="96">IMARGUMENT(IMDIV(COMPLEX(1,DE5/$B$112),COMPLEX(1,DE5/$B$111)))*(180/PI())</f>
        <v>-7.1855962100755386E-2</v>
      </c>
      <c r="DH5" s="91">
        <f t="shared" ref="DH5:DH59" si="97">20*LOG(IMABS(IMDIV(COMPLEX(1,DE5/$B$121),IMPRODUCT(COMPLEX(1,DE5/$B$120),COMPLEX(0,DE5))))*$B$119)</f>
        <v>26.288181076744742</v>
      </c>
      <c r="DI5" s="92">
        <f t="shared" ref="DI5:DI59" si="98">IMARGUMENT(IMDIV(COMPLEX(-1,-DE5/$B$121),IMPRODUCT(COMPLEX(1,DE5/$B$120),COMPLEX(0,DE5))))*(180/PI())</f>
        <v>90.169962677897018</v>
      </c>
      <c r="DJ5" s="92">
        <f t="shared" ref="DJ5:DJ59" si="99">20*LOG(IMABS(IMDIV(COMPLEX(1,$B$116/DE5),COMPLEX(1,DE5/$B$115)))*$B$117)</f>
        <v>24.106208685293993</v>
      </c>
      <c r="DK5" s="93">
        <f t="shared" ref="DK5:DK59" si="100">IMARGUMENT(IMDIV(COMPLEX(-1,-$B$116/-DE5),COMPLEX(1,DE5/$B$115)))*(180/PI())</f>
        <v>90.17050627608441</v>
      </c>
      <c r="DL5" s="91">
        <f t="shared" ref="DL5:DL59" si="101">DH5+DF5</f>
        <v>53.981162603299225</v>
      </c>
      <c r="DM5" s="92">
        <f t="shared" ref="DM5:DM59" si="102">DI5+DG5</f>
        <v>90.098106715796263</v>
      </c>
      <c r="DN5" s="92">
        <f t="shared" ref="DN5:DN59" si="103">DF5+DJ5</f>
        <v>51.799190211848483</v>
      </c>
      <c r="DO5" s="93">
        <f t="shared" ref="DO5:DO59" si="104">DG5+DK5</f>
        <v>90.098650313983654</v>
      </c>
    </row>
    <row r="6" spans="1:119" x14ac:dyDescent="0.25">
      <c r="A6" t="s">
        <v>295</v>
      </c>
      <c r="B6" s="39">
        <f>B5/Fsw</f>
        <v>2.2821773229381921E-7</v>
      </c>
      <c r="C6" s="12" t="s">
        <v>320</v>
      </c>
      <c r="K6" s="58">
        <v>2</v>
      </c>
      <c r="L6" s="131">
        <f t="shared" si="55"/>
        <v>10.56</v>
      </c>
      <c r="M6" s="130">
        <f t="shared" si="56"/>
        <v>0.63131313131313127</v>
      </c>
      <c r="N6" s="132">
        <f t="shared" si="0"/>
        <v>0.31120599858248071</v>
      </c>
      <c r="O6" s="52">
        <f t="shared" si="57"/>
        <v>0.22005587194360321</v>
      </c>
      <c r="P6" s="21">
        <f t="shared" si="58"/>
        <v>2.0286020648339487</v>
      </c>
      <c r="Q6" s="19">
        <f t="shared" si="59"/>
        <v>4.0572041296678973</v>
      </c>
      <c r="R6" s="6">
        <f t="shared" si="1"/>
        <v>3.0565125138848832</v>
      </c>
      <c r="S6" s="55">
        <f t="shared" si="60"/>
        <v>1.3067430870876922</v>
      </c>
      <c r="T6" s="133">
        <f t="shared" si="61"/>
        <v>1.144124654870736</v>
      </c>
      <c r="U6" s="54">
        <f t="shared" si="2"/>
        <v>0.23706792697452767</v>
      </c>
      <c r="V6" s="21">
        <f t="shared" si="62"/>
        <v>4.2182002971133556</v>
      </c>
      <c r="W6" s="21">
        <f t="shared" si="63"/>
        <v>1.185776861683703</v>
      </c>
      <c r="X6" s="63">
        <f t="shared" si="64"/>
        <v>1.0752054527877226</v>
      </c>
      <c r="Y6" s="54">
        <f t="shared" si="3"/>
        <v>0.23706792697452767</v>
      </c>
      <c r="Z6" s="21">
        <f t="shared" si="4"/>
        <v>4.2182002971133556</v>
      </c>
      <c r="AA6" s="21">
        <f t="shared" si="65"/>
        <v>1.185776861683703</v>
      </c>
      <c r="AB6" s="63">
        <f t="shared" si="66"/>
        <v>1.0752054527877226</v>
      </c>
      <c r="AC6" s="52">
        <f t="shared" si="5"/>
        <v>0</v>
      </c>
      <c r="AD6" s="21">
        <f t="shared" si="6"/>
        <v>0</v>
      </c>
      <c r="AE6" s="21">
        <f t="shared" si="67"/>
        <v>0</v>
      </c>
      <c r="AF6" s="63">
        <f t="shared" si="68"/>
        <v>0</v>
      </c>
      <c r="AG6" s="52">
        <f t="shared" si="7"/>
        <v>0</v>
      </c>
      <c r="AH6" s="21">
        <f t="shared" si="8"/>
        <v>0</v>
      </c>
      <c r="AI6" s="21">
        <f t="shared" si="69"/>
        <v>0</v>
      </c>
      <c r="AJ6" s="63">
        <f t="shared" si="70"/>
        <v>0</v>
      </c>
      <c r="AK6" s="52">
        <f t="shared" si="9"/>
        <v>0</v>
      </c>
      <c r="AL6" s="21">
        <f t="shared" si="10"/>
        <v>0</v>
      </c>
      <c r="AM6" s="21">
        <f t="shared" si="71"/>
        <v>0</v>
      </c>
      <c r="AN6" s="63">
        <f t="shared" si="72"/>
        <v>0</v>
      </c>
      <c r="AO6" s="52">
        <f t="shared" si="73"/>
        <v>0</v>
      </c>
      <c r="AP6" s="21">
        <f t="shared" si="11"/>
        <v>0</v>
      </c>
      <c r="AQ6" s="21">
        <f t="shared" si="74"/>
        <v>0</v>
      </c>
      <c r="AR6" s="181">
        <f t="shared" si="75"/>
        <v>0</v>
      </c>
      <c r="AS6" s="52">
        <f t="shared" si="12"/>
        <v>0.15133499330954489</v>
      </c>
      <c r="AT6" s="21">
        <f t="shared" si="13"/>
        <v>1.3215714067592701</v>
      </c>
      <c r="AU6" s="21">
        <f t="shared" si="14"/>
        <v>0.2968244606676107</v>
      </c>
      <c r="AV6" s="63">
        <f t="shared" si="15"/>
        <v>0.2794722892356557</v>
      </c>
      <c r="AW6" s="182">
        <f t="shared" si="76"/>
        <v>9.2209184765179461E-2</v>
      </c>
      <c r="AX6" s="52">
        <f t="shared" si="77"/>
        <v>0</v>
      </c>
      <c r="AY6" s="74">
        <f t="shared" si="78"/>
        <v>0</v>
      </c>
      <c r="AZ6" s="78">
        <f t="shared" si="79"/>
        <v>0</v>
      </c>
      <c r="BA6" s="87">
        <f t="shared" si="80"/>
        <v>0</v>
      </c>
      <c r="BB6" s="110">
        <f t="shared" si="81"/>
        <v>389.58111577303015</v>
      </c>
      <c r="BC6" s="69">
        <f t="shared" si="82"/>
        <v>0.29218583682977262</v>
      </c>
      <c r="BD6" s="42">
        <f t="shared" si="83"/>
        <v>375.77078305839683</v>
      </c>
      <c r="BE6" s="79">
        <f t="shared" si="84"/>
        <v>0.28182808729379766</v>
      </c>
      <c r="BF6" s="117">
        <f t="shared" si="16"/>
        <v>1.3013120053953522E-2</v>
      </c>
      <c r="BG6" s="118">
        <f t="shared" si="17"/>
        <v>4.2740389896485639E-2</v>
      </c>
      <c r="BH6" s="117">
        <f t="shared" si="18"/>
        <v>6.1943381790359594E-4</v>
      </c>
      <c r="BI6" s="118">
        <f t="shared" si="19"/>
        <v>2.6865194238630905E-2</v>
      </c>
      <c r="BJ6" s="117">
        <f t="shared" si="20"/>
        <v>6.1943381790359594E-4</v>
      </c>
      <c r="BK6" s="118">
        <f t="shared" si="21"/>
        <v>2.6865194238630905E-2</v>
      </c>
      <c r="BL6" s="91">
        <f t="shared" si="22"/>
        <v>0</v>
      </c>
      <c r="BM6" s="93">
        <f t="shared" si="23"/>
        <v>0</v>
      </c>
      <c r="BN6" s="91">
        <f t="shared" si="24"/>
        <v>0</v>
      </c>
      <c r="BO6" s="93">
        <f t="shared" si="25"/>
        <v>0</v>
      </c>
      <c r="BP6" s="91">
        <f t="shared" si="26"/>
        <v>0</v>
      </c>
      <c r="BQ6" s="93">
        <f t="shared" si="27"/>
        <v>0</v>
      </c>
      <c r="BR6" s="91">
        <f t="shared" si="28"/>
        <v>0</v>
      </c>
      <c r="BS6" s="93">
        <f t="shared" si="29"/>
        <v>0</v>
      </c>
      <c r="BT6" s="188">
        <f t="shared" si="30"/>
        <v>4.7302218821729144E-5</v>
      </c>
      <c r="BU6" s="93">
        <f t="shared" si="31"/>
        <v>3.4650633806579114E-3</v>
      </c>
      <c r="BV6" s="117">
        <f t="shared" si="85"/>
        <v>0.11423513166298779</v>
      </c>
      <c r="BW6" s="206">
        <f t="shared" si="86"/>
        <v>0.11423513166298779</v>
      </c>
      <c r="BX6" s="206">
        <f t="shared" si="87"/>
        <v>0.11423513166298779</v>
      </c>
      <c r="BY6" s="97">
        <f t="shared" si="88"/>
        <v>0.40642096849276044</v>
      </c>
      <c r="BZ6" s="123">
        <f t="shared" si="89"/>
        <v>0.39606321895678542</v>
      </c>
      <c r="CA6" s="91">
        <f t="shared" si="90"/>
        <v>2.7898938883787368E-2</v>
      </c>
      <c r="CB6" s="92">
        <f t="shared" si="32"/>
        <v>2.5000000000000001E-3</v>
      </c>
      <c r="CC6" s="92">
        <f t="shared" si="33"/>
        <v>2.5000000000000001E-3</v>
      </c>
      <c r="CD6" s="92">
        <f t="shared" si="34"/>
        <v>0</v>
      </c>
      <c r="CE6" s="92">
        <f t="shared" si="35"/>
        <v>0</v>
      </c>
      <c r="CF6" s="92">
        <f t="shared" si="36"/>
        <v>0</v>
      </c>
      <c r="CG6" s="92">
        <f t="shared" si="37"/>
        <v>0</v>
      </c>
      <c r="CH6" s="92">
        <f t="shared" si="38"/>
        <v>1.0000000000000002E-4</v>
      </c>
      <c r="CI6" s="127">
        <f t="shared" si="91"/>
        <v>3.2998938883787368E-2</v>
      </c>
      <c r="CJ6" s="91">
        <f t="shared" si="92"/>
        <v>1.9927813488419548E-3</v>
      </c>
      <c r="CK6" s="92">
        <f t="shared" si="39"/>
        <v>3.0000000000000002E-2</v>
      </c>
      <c r="CL6" s="92">
        <f t="shared" si="40"/>
        <v>0.11549999999999999</v>
      </c>
      <c r="CM6" s="127">
        <f t="shared" si="93"/>
        <v>0.14749278134884194</v>
      </c>
      <c r="CN6" s="91">
        <f t="shared" si="41"/>
        <v>0.15</v>
      </c>
      <c r="CO6" s="92">
        <f t="shared" si="42"/>
        <v>0.15</v>
      </c>
      <c r="CP6" s="92">
        <f t="shared" si="43"/>
        <v>0</v>
      </c>
      <c r="CQ6" s="92">
        <f t="shared" si="44"/>
        <v>0</v>
      </c>
      <c r="CR6" s="92">
        <f t="shared" si="45"/>
        <v>0</v>
      </c>
      <c r="CS6" s="92">
        <f t="shared" si="46"/>
        <v>0</v>
      </c>
      <c r="CT6" s="92">
        <f t="shared" si="47"/>
        <v>0.03</v>
      </c>
      <c r="CU6" s="127">
        <f t="shared" si="48"/>
        <v>0.32999999999999996</v>
      </c>
      <c r="CV6" s="231">
        <f t="shared" si="49"/>
        <v>0.74418265855737609</v>
      </c>
      <c r="CW6" s="188">
        <f t="shared" si="50"/>
        <v>1.2546743787900052</v>
      </c>
      <c r="CX6" s="206">
        <f t="shared" si="51"/>
        <v>7.2546743787900052</v>
      </c>
      <c r="CY6" s="231">
        <f t="shared" si="52"/>
        <v>0.8270529711907938</v>
      </c>
      <c r="CZ6">
        <f t="shared" si="53"/>
        <v>19.048964346349749</v>
      </c>
      <c r="DA6">
        <f t="shared" si="54"/>
        <v>636.22021323437082</v>
      </c>
      <c r="DD6" s="22">
        <v>3</v>
      </c>
      <c r="DE6" s="22">
        <f t="shared" si="94"/>
        <v>18.849555921538759</v>
      </c>
      <c r="DF6" s="91">
        <f t="shared" si="95"/>
        <v>27.692972953981322</v>
      </c>
      <c r="DG6" s="93">
        <f t="shared" si="96"/>
        <v>-0.10778387209020091</v>
      </c>
      <c r="DH6" s="91">
        <f t="shared" si="97"/>
        <v>22.766405147832039</v>
      </c>
      <c r="DI6" s="92">
        <f t="shared" si="98"/>
        <v>90.254943037914444</v>
      </c>
      <c r="DJ6" s="92">
        <f t="shared" si="99"/>
        <v>20.584432873099971</v>
      </c>
      <c r="DK6" s="93">
        <f t="shared" si="100"/>
        <v>90.255758431796991</v>
      </c>
      <c r="DL6" s="91">
        <f t="shared" si="101"/>
        <v>50.459378101813357</v>
      </c>
      <c r="DM6" s="92">
        <f t="shared" si="102"/>
        <v>90.147159165824249</v>
      </c>
      <c r="DN6" s="92">
        <f t="shared" si="103"/>
        <v>48.277405827081296</v>
      </c>
      <c r="DO6" s="93">
        <f t="shared" si="104"/>
        <v>90.147974559706796</v>
      </c>
    </row>
    <row r="7" spans="1:119" x14ac:dyDescent="0.25">
      <c r="A7" t="s">
        <v>293</v>
      </c>
      <c r="B7" s="21">
        <f>SQRT((2*Lm_Flyback_DCM*Fsw*Pout_Flyback)/((VinMin^2)*eff))</f>
        <v>0.36514837167011072</v>
      </c>
      <c r="C7" s="12"/>
      <c r="E7" s="12" t="s">
        <v>879</v>
      </c>
      <c r="F7" s="12"/>
      <c r="G7" s="12"/>
      <c r="H7" s="12"/>
      <c r="I7" s="12" t="s">
        <v>884</v>
      </c>
      <c r="J7" s="12" t="s">
        <v>883</v>
      </c>
      <c r="K7" s="58">
        <v>3</v>
      </c>
      <c r="L7" s="131">
        <f t="shared" si="55"/>
        <v>11.34</v>
      </c>
      <c r="M7" s="130">
        <f t="shared" si="56"/>
        <v>0.58788947677836567</v>
      </c>
      <c r="N7" s="132">
        <f t="shared" si="0"/>
        <v>0.28980029497627835</v>
      </c>
      <c r="O7" s="52">
        <f t="shared" si="57"/>
        <v>0.2049197537675882</v>
      </c>
      <c r="P7" s="21">
        <f t="shared" si="58"/>
        <v>2.0286020648339487</v>
      </c>
      <c r="Q7" s="19">
        <f t="shared" si="59"/>
        <v>4.0572041296678973</v>
      </c>
      <c r="R7" s="6">
        <f t="shared" si="1"/>
        <v>3.010771042702443</v>
      </c>
      <c r="S7" s="55">
        <f t="shared" si="60"/>
        <v>1.2610016159052517</v>
      </c>
      <c r="T7" s="133">
        <f t="shared" si="61"/>
        <v>1.1155765497754582</v>
      </c>
      <c r="U7" s="54">
        <f t="shared" si="2"/>
        <v>0.23706792697452767</v>
      </c>
      <c r="V7" s="21">
        <f t="shared" si="62"/>
        <v>4.2182002971133556</v>
      </c>
      <c r="W7" s="21">
        <f t="shared" si="63"/>
        <v>1.185776861683703</v>
      </c>
      <c r="X7" s="63">
        <f t="shared" si="64"/>
        <v>1.0752054527877226</v>
      </c>
      <c r="Y7" s="54">
        <f t="shared" si="3"/>
        <v>0.23706792697452767</v>
      </c>
      <c r="Z7" s="21">
        <f t="shared" si="4"/>
        <v>4.2182002971133556</v>
      </c>
      <c r="AA7" s="21">
        <f t="shared" si="65"/>
        <v>1.185776861683703</v>
      </c>
      <c r="AB7" s="63">
        <f t="shared" si="66"/>
        <v>1.0752054527877226</v>
      </c>
      <c r="AC7" s="52">
        <f t="shared" si="5"/>
        <v>0</v>
      </c>
      <c r="AD7" s="21">
        <f t="shared" si="6"/>
        <v>0</v>
      </c>
      <c r="AE7" s="21">
        <f t="shared" si="67"/>
        <v>0</v>
      </c>
      <c r="AF7" s="63">
        <f t="shared" si="68"/>
        <v>0</v>
      </c>
      <c r="AG7" s="52">
        <f t="shared" si="7"/>
        <v>0</v>
      </c>
      <c r="AH7" s="21">
        <f t="shared" si="8"/>
        <v>0</v>
      </c>
      <c r="AI7" s="21">
        <f t="shared" si="69"/>
        <v>0</v>
      </c>
      <c r="AJ7" s="63">
        <f t="shared" si="70"/>
        <v>0</v>
      </c>
      <c r="AK7" s="52">
        <f t="shared" si="9"/>
        <v>0</v>
      </c>
      <c r="AL7" s="21">
        <f t="shared" si="10"/>
        <v>0</v>
      </c>
      <c r="AM7" s="21">
        <f t="shared" si="71"/>
        <v>0</v>
      </c>
      <c r="AN7" s="63">
        <f t="shared" si="72"/>
        <v>0</v>
      </c>
      <c r="AO7" s="52">
        <f t="shared" si="73"/>
        <v>0</v>
      </c>
      <c r="AP7" s="21">
        <f t="shared" si="11"/>
        <v>0</v>
      </c>
      <c r="AQ7" s="21">
        <f t="shared" si="74"/>
        <v>0</v>
      </c>
      <c r="AR7" s="181">
        <f t="shared" si="75"/>
        <v>0</v>
      </c>
      <c r="AS7" s="52">
        <f t="shared" si="12"/>
        <v>0.15133499330954489</v>
      </c>
      <c r="AT7" s="21">
        <f t="shared" si="13"/>
        <v>1.3215714067592701</v>
      </c>
      <c r="AU7" s="21">
        <f t="shared" si="14"/>
        <v>0.2968244606676107</v>
      </c>
      <c r="AV7" s="63">
        <f t="shared" si="15"/>
        <v>0.2794722892356557</v>
      </c>
      <c r="AW7" s="182">
        <f t="shared" si="76"/>
        <v>9.2209184765179461E-2</v>
      </c>
      <c r="AX7" s="52">
        <f t="shared" si="77"/>
        <v>0</v>
      </c>
      <c r="AY7" s="74">
        <f t="shared" si="78"/>
        <v>0</v>
      </c>
      <c r="AZ7" s="78">
        <f t="shared" si="79"/>
        <v>0</v>
      </c>
      <c r="BA7" s="87">
        <f t="shared" si="80"/>
        <v>0</v>
      </c>
      <c r="BB7" s="110">
        <f t="shared" si="81"/>
        <v>389.58111577303015</v>
      </c>
      <c r="BC7" s="69">
        <f t="shared" si="82"/>
        <v>0.29218583682977262</v>
      </c>
      <c r="BD7" s="42">
        <f t="shared" si="83"/>
        <v>375.77078305839683</v>
      </c>
      <c r="BE7" s="79">
        <f t="shared" si="84"/>
        <v>0.28182808729379766</v>
      </c>
      <c r="BF7" s="117">
        <f t="shared" si="16"/>
        <v>1.1284521900038194E-2</v>
      </c>
      <c r="BG7" s="118">
        <f t="shared" si="17"/>
        <v>4.0634090540582389E-2</v>
      </c>
      <c r="BH7" s="117">
        <f t="shared" si="18"/>
        <v>6.1943381790359594E-4</v>
      </c>
      <c r="BI7" s="118">
        <f t="shared" si="19"/>
        <v>2.6865194238630905E-2</v>
      </c>
      <c r="BJ7" s="117">
        <f t="shared" si="20"/>
        <v>6.1943381790359594E-4</v>
      </c>
      <c r="BK7" s="118">
        <f t="shared" si="21"/>
        <v>2.6865194238630905E-2</v>
      </c>
      <c r="BL7" s="91">
        <f t="shared" si="22"/>
        <v>0</v>
      </c>
      <c r="BM7" s="93">
        <f t="shared" si="23"/>
        <v>0</v>
      </c>
      <c r="BN7" s="91">
        <f t="shared" si="24"/>
        <v>0</v>
      </c>
      <c r="BO7" s="93">
        <f t="shared" si="25"/>
        <v>0</v>
      </c>
      <c r="BP7" s="91">
        <f t="shared" si="26"/>
        <v>0</v>
      </c>
      <c r="BQ7" s="93">
        <f t="shared" si="27"/>
        <v>0</v>
      </c>
      <c r="BR7" s="91">
        <f t="shared" si="28"/>
        <v>0</v>
      </c>
      <c r="BS7" s="93">
        <f t="shared" si="29"/>
        <v>0</v>
      </c>
      <c r="BT7" s="188">
        <f t="shared" si="30"/>
        <v>4.7302218821729144E-5</v>
      </c>
      <c r="BU7" s="93">
        <f t="shared" si="31"/>
        <v>3.4650633806579114E-3</v>
      </c>
      <c r="BV7" s="117">
        <f t="shared" si="85"/>
        <v>0.11040023415316921</v>
      </c>
      <c r="BW7" s="206">
        <f t="shared" si="86"/>
        <v>0.11040023415316921</v>
      </c>
      <c r="BX7" s="206">
        <f t="shared" si="87"/>
        <v>0.11040023415316921</v>
      </c>
      <c r="BY7" s="97">
        <f t="shared" si="88"/>
        <v>0.40258607098294186</v>
      </c>
      <c r="BZ7" s="123">
        <f t="shared" si="89"/>
        <v>0.39222832144696684</v>
      </c>
      <c r="CA7" s="91">
        <f t="shared" si="90"/>
        <v>2.4192982583471839E-2</v>
      </c>
      <c r="CB7" s="92">
        <f t="shared" si="32"/>
        <v>2.5000000000000001E-3</v>
      </c>
      <c r="CC7" s="92">
        <f t="shared" si="33"/>
        <v>2.5000000000000001E-3</v>
      </c>
      <c r="CD7" s="92">
        <f t="shared" si="34"/>
        <v>0</v>
      </c>
      <c r="CE7" s="92">
        <f t="shared" si="35"/>
        <v>0</v>
      </c>
      <c r="CF7" s="92">
        <f t="shared" si="36"/>
        <v>0</v>
      </c>
      <c r="CG7" s="92">
        <f t="shared" si="37"/>
        <v>0</v>
      </c>
      <c r="CH7" s="92">
        <f t="shared" si="38"/>
        <v>1.0000000000000002E-4</v>
      </c>
      <c r="CI7" s="127">
        <f t="shared" si="91"/>
        <v>2.9292982583471835E-2</v>
      </c>
      <c r="CJ7" s="91">
        <f t="shared" si="92"/>
        <v>1.7280701845337027E-3</v>
      </c>
      <c r="CK7" s="92">
        <f t="shared" si="39"/>
        <v>3.0000000000000002E-2</v>
      </c>
      <c r="CL7" s="92">
        <f t="shared" si="40"/>
        <v>0.11549999999999999</v>
      </c>
      <c r="CM7" s="127">
        <f t="shared" si="93"/>
        <v>0.14722807018453371</v>
      </c>
      <c r="CN7" s="91">
        <f t="shared" si="41"/>
        <v>0.15</v>
      </c>
      <c r="CO7" s="92">
        <f t="shared" si="42"/>
        <v>0.15</v>
      </c>
      <c r="CP7" s="92">
        <f t="shared" si="43"/>
        <v>0</v>
      </c>
      <c r="CQ7" s="92">
        <f t="shared" si="44"/>
        <v>0</v>
      </c>
      <c r="CR7" s="92">
        <f t="shared" si="45"/>
        <v>0</v>
      </c>
      <c r="CS7" s="92">
        <f t="shared" si="46"/>
        <v>0</v>
      </c>
      <c r="CT7" s="92">
        <f t="shared" si="47"/>
        <v>0.03</v>
      </c>
      <c r="CU7" s="127">
        <f t="shared" si="48"/>
        <v>0.32999999999999996</v>
      </c>
      <c r="CV7" s="231">
        <f t="shared" si="49"/>
        <v>0.74361555954349068</v>
      </c>
      <c r="CW7" s="188">
        <f t="shared" si="50"/>
        <v>1.2501366123114961</v>
      </c>
      <c r="CX7" s="206">
        <f t="shared" si="51"/>
        <v>7.2501366123114961</v>
      </c>
      <c r="CY7" s="231">
        <f t="shared" si="52"/>
        <v>0.82757061291939904</v>
      </c>
      <c r="CZ7">
        <f t="shared" si="53"/>
        <v>19.828964346349746</v>
      </c>
      <c r="DA7">
        <f t="shared" si="54"/>
        <v>637.0002132343709</v>
      </c>
      <c r="DD7" s="22">
        <v>4</v>
      </c>
      <c r="DE7" s="22">
        <f t="shared" si="94"/>
        <v>25.132741228718345</v>
      </c>
      <c r="DF7" s="91">
        <f t="shared" si="95"/>
        <v>27.692960952407304</v>
      </c>
      <c r="DG7" s="93">
        <f t="shared" si="96"/>
        <v>-0.14371169680690407</v>
      </c>
      <c r="DH7" s="91">
        <f t="shared" si="97"/>
        <v>20.267699367808572</v>
      </c>
      <c r="DI7" s="92">
        <f t="shared" si="98"/>
        <v>90.339922223244415</v>
      </c>
      <c r="DJ7" s="92">
        <f t="shared" si="99"/>
        <v>18.085727256478265</v>
      </c>
      <c r="DK7" s="93">
        <f t="shared" si="100"/>
        <v>90.341009408744014</v>
      </c>
      <c r="DL7" s="91">
        <f t="shared" si="101"/>
        <v>47.960660320215879</v>
      </c>
      <c r="DM7" s="92">
        <f t="shared" si="102"/>
        <v>90.196210526437511</v>
      </c>
      <c r="DN7" s="92">
        <f t="shared" si="103"/>
        <v>45.778688208885569</v>
      </c>
      <c r="DO7" s="93">
        <f t="shared" si="104"/>
        <v>90.197297711937111</v>
      </c>
    </row>
    <row r="8" spans="1:119" x14ac:dyDescent="0.25">
      <c r="A8" t="s">
        <v>294</v>
      </c>
      <c r="B8" s="39">
        <f>B7/Fsw</f>
        <v>1.2171612389003691E-6</v>
      </c>
      <c r="C8" s="12" t="s">
        <v>320</v>
      </c>
      <c r="E8" s="12"/>
      <c r="F8" s="12" t="s">
        <v>10</v>
      </c>
      <c r="G8" s="12" t="s">
        <v>713</v>
      </c>
      <c r="H8" s="12" t="s">
        <v>714</v>
      </c>
      <c r="I8" s="12"/>
      <c r="J8" s="12"/>
      <c r="K8" s="58">
        <v>4</v>
      </c>
      <c r="L8" s="131">
        <f t="shared" si="55"/>
        <v>12.120000000000001</v>
      </c>
      <c r="M8" s="130">
        <f t="shared" si="56"/>
        <v>0.55005500550054998</v>
      </c>
      <c r="N8" s="132">
        <f t="shared" si="0"/>
        <v>0.27114978094315151</v>
      </c>
      <c r="O8" s="52">
        <f t="shared" si="57"/>
        <v>0.1917318488221493</v>
      </c>
      <c r="P8" s="21">
        <f t="shared" si="58"/>
        <v>2.0286020648339487</v>
      </c>
      <c r="Q8" s="19">
        <f t="shared" si="59"/>
        <v>4.0572041296678973</v>
      </c>
      <c r="R8" s="6">
        <f t="shared" si="1"/>
        <v>2.9695195213825065</v>
      </c>
      <c r="S8" s="55">
        <f t="shared" si="60"/>
        <v>1.2197500945853155</v>
      </c>
      <c r="T8" s="133">
        <f t="shared" si="61"/>
        <v>1.088682591100214</v>
      </c>
      <c r="U8" s="54">
        <f t="shared" si="2"/>
        <v>0.23706792697452767</v>
      </c>
      <c r="V8" s="21">
        <f t="shared" si="62"/>
        <v>4.2182002971133556</v>
      </c>
      <c r="W8" s="21">
        <f t="shared" si="63"/>
        <v>1.185776861683703</v>
      </c>
      <c r="X8" s="63">
        <f t="shared" si="64"/>
        <v>1.0752054527877226</v>
      </c>
      <c r="Y8" s="54">
        <f t="shared" si="3"/>
        <v>0.23706792697452767</v>
      </c>
      <c r="Z8" s="21">
        <f t="shared" si="4"/>
        <v>4.2182002971133556</v>
      </c>
      <c r="AA8" s="21">
        <f t="shared" si="65"/>
        <v>1.185776861683703</v>
      </c>
      <c r="AB8" s="63">
        <f t="shared" si="66"/>
        <v>1.0752054527877226</v>
      </c>
      <c r="AC8" s="52">
        <f t="shared" si="5"/>
        <v>0</v>
      </c>
      <c r="AD8" s="21">
        <f t="shared" si="6"/>
        <v>0</v>
      </c>
      <c r="AE8" s="21">
        <f t="shared" si="67"/>
        <v>0</v>
      </c>
      <c r="AF8" s="63">
        <f t="shared" si="68"/>
        <v>0</v>
      </c>
      <c r="AG8" s="52">
        <f t="shared" si="7"/>
        <v>0</v>
      </c>
      <c r="AH8" s="21">
        <f t="shared" si="8"/>
        <v>0</v>
      </c>
      <c r="AI8" s="21">
        <f t="shared" si="69"/>
        <v>0</v>
      </c>
      <c r="AJ8" s="63">
        <f t="shared" si="70"/>
        <v>0</v>
      </c>
      <c r="AK8" s="52">
        <f t="shared" si="9"/>
        <v>0</v>
      </c>
      <c r="AL8" s="21">
        <f t="shared" si="10"/>
        <v>0</v>
      </c>
      <c r="AM8" s="21">
        <f t="shared" si="71"/>
        <v>0</v>
      </c>
      <c r="AN8" s="63">
        <f t="shared" si="72"/>
        <v>0</v>
      </c>
      <c r="AO8" s="52">
        <f t="shared" si="73"/>
        <v>0</v>
      </c>
      <c r="AP8" s="21">
        <f t="shared" si="11"/>
        <v>0</v>
      </c>
      <c r="AQ8" s="21">
        <f t="shared" si="74"/>
        <v>0</v>
      </c>
      <c r="AR8" s="181">
        <f t="shared" si="75"/>
        <v>0</v>
      </c>
      <c r="AS8" s="52">
        <f t="shared" si="12"/>
        <v>0.15133499330954489</v>
      </c>
      <c r="AT8" s="21">
        <f t="shared" si="13"/>
        <v>1.3215714067592701</v>
      </c>
      <c r="AU8" s="21">
        <f t="shared" si="14"/>
        <v>0.2968244606676107</v>
      </c>
      <c r="AV8" s="63">
        <f t="shared" si="15"/>
        <v>0.2794722892356557</v>
      </c>
      <c r="AW8" s="182">
        <f t="shared" si="76"/>
        <v>9.2209184765179461E-2</v>
      </c>
      <c r="AX8" s="52">
        <f t="shared" si="77"/>
        <v>0</v>
      </c>
      <c r="AY8" s="74">
        <f t="shared" si="78"/>
        <v>0</v>
      </c>
      <c r="AZ8" s="78">
        <f t="shared" si="79"/>
        <v>0</v>
      </c>
      <c r="BA8" s="87">
        <f t="shared" si="80"/>
        <v>0</v>
      </c>
      <c r="BB8" s="110">
        <f t="shared" si="81"/>
        <v>389.58111577303015</v>
      </c>
      <c r="BC8" s="69">
        <f t="shared" si="82"/>
        <v>0.29218583682977262</v>
      </c>
      <c r="BD8" s="42">
        <f t="shared" si="83"/>
        <v>375.77078305839683</v>
      </c>
      <c r="BE8" s="79">
        <f t="shared" si="84"/>
        <v>0.28182808729379766</v>
      </c>
      <c r="BF8" s="117">
        <f t="shared" si="16"/>
        <v>9.8787963628875659E-3</v>
      </c>
      <c r="BG8" s="118">
        <f t="shared" si="17"/>
        <v>3.8698519237495059E-2</v>
      </c>
      <c r="BH8" s="117">
        <f t="shared" si="18"/>
        <v>6.1943381790359594E-4</v>
      </c>
      <c r="BI8" s="118">
        <f t="shared" si="19"/>
        <v>2.6865194238630905E-2</v>
      </c>
      <c r="BJ8" s="117">
        <f t="shared" si="20"/>
        <v>6.1943381790359594E-4</v>
      </c>
      <c r="BK8" s="118">
        <f t="shared" si="21"/>
        <v>2.6865194238630905E-2</v>
      </c>
      <c r="BL8" s="91">
        <f t="shared" si="22"/>
        <v>0</v>
      </c>
      <c r="BM8" s="93">
        <f t="shared" si="23"/>
        <v>0</v>
      </c>
      <c r="BN8" s="91">
        <f t="shared" si="24"/>
        <v>0</v>
      </c>
      <c r="BO8" s="93">
        <f t="shared" si="25"/>
        <v>0</v>
      </c>
      <c r="BP8" s="91">
        <f t="shared" si="26"/>
        <v>0</v>
      </c>
      <c r="BQ8" s="93">
        <f t="shared" si="27"/>
        <v>0</v>
      </c>
      <c r="BR8" s="91">
        <f t="shared" si="28"/>
        <v>0</v>
      </c>
      <c r="BS8" s="93">
        <f t="shared" si="29"/>
        <v>0</v>
      </c>
      <c r="BT8" s="188">
        <f t="shared" si="30"/>
        <v>4.7302218821729144E-5</v>
      </c>
      <c r="BU8" s="93">
        <f t="shared" si="31"/>
        <v>3.4650633806579114E-3</v>
      </c>
      <c r="BV8" s="117">
        <f t="shared" si="85"/>
        <v>0.10705893731293126</v>
      </c>
      <c r="BW8" s="206">
        <f t="shared" si="86"/>
        <v>0.10705893731293126</v>
      </c>
      <c r="BX8" s="206">
        <f t="shared" si="87"/>
        <v>0.10705893731293126</v>
      </c>
      <c r="BY8" s="97">
        <f t="shared" si="88"/>
        <v>0.39924477414270387</v>
      </c>
      <c r="BZ8" s="123">
        <f t="shared" si="89"/>
        <v>0.38888702460672891</v>
      </c>
      <c r="CA8" s="91">
        <f t="shared" si="90"/>
        <v>2.1179235635334706E-2</v>
      </c>
      <c r="CB8" s="92">
        <f t="shared" si="32"/>
        <v>2.5000000000000001E-3</v>
      </c>
      <c r="CC8" s="92">
        <f t="shared" si="33"/>
        <v>2.5000000000000001E-3</v>
      </c>
      <c r="CD8" s="92">
        <f t="shared" si="34"/>
        <v>0</v>
      </c>
      <c r="CE8" s="92">
        <f t="shared" si="35"/>
        <v>0</v>
      </c>
      <c r="CF8" s="92">
        <f t="shared" si="36"/>
        <v>0</v>
      </c>
      <c r="CG8" s="92">
        <f t="shared" si="37"/>
        <v>0</v>
      </c>
      <c r="CH8" s="92">
        <f t="shared" si="38"/>
        <v>1.0000000000000002E-4</v>
      </c>
      <c r="CI8" s="127">
        <f t="shared" si="91"/>
        <v>2.6279235635334703E-2</v>
      </c>
      <c r="CJ8" s="91">
        <f t="shared" si="92"/>
        <v>1.5128025453810504E-3</v>
      </c>
      <c r="CK8" s="92">
        <f t="shared" si="39"/>
        <v>0.03</v>
      </c>
      <c r="CL8" s="92">
        <f t="shared" si="40"/>
        <v>0.11549999999999999</v>
      </c>
      <c r="CM8" s="127">
        <f t="shared" si="93"/>
        <v>0.14701280254538104</v>
      </c>
      <c r="CN8" s="91">
        <f t="shared" si="41"/>
        <v>0.15</v>
      </c>
      <c r="CO8" s="92">
        <f t="shared" si="42"/>
        <v>0.15</v>
      </c>
      <c r="CP8" s="92">
        <f t="shared" si="43"/>
        <v>0</v>
      </c>
      <c r="CQ8" s="92">
        <f t="shared" si="44"/>
        <v>0</v>
      </c>
      <c r="CR8" s="92">
        <f t="shared" si="45"/>
        <v>0</v>
      </c>
      <c r="CS8" s="92">
        <f t="shared" si="46"/>
        <v>0</v>
      </c>
      <c r="CT8" s="92">
        <f t="shared" si="47"/>
        <v>0.03</v>
      </c>
      <c r="CU8" s="127">
        <f t="shared" si="48"/>
        <v>0.32999999999999996</v>
      </c>
      <c r="CV8" s="231">
        <f t="shared" si="49"/>
        <v>0.74303928045313916</v>
      </c>
      <c r="CW8" s="188">
        <f t="shared" si="50"/>
        <v>1.2463313186338549</v>
      </c>
      <c r="CX8" s="206">
        <f t="shared" si="51"/>
        <v>7.2463313186338549</v>
      </c>
      <c r="CY8" s="231">
        <f t="shared" si="52"/>
        <v>0.82800519824025587</v>
      </c>
      <c r="CZ8">
        <f t="shared" si="53"/>
        <v>20.608964346349747</v>
      </c>
      <c r="DA8">
        <f t="shared" si="54"/>
        <v>637.78021323437088</v>
      </c>
      <c r="DD8" s="22">
        <v>5</v>
      </c>
      <c r="DE8" s="22">
        <f t="shared" si="94"/>
        <v>31.415926535897931</v>
      </c>
      <c r="DF8" s="91">
        <f t="shared" si="95"/>
        <v>27.692945521860878</v>
      </c>
      <c r="DG8" s="93">
        <f t="shared" si="96"/>
        <v>-0.1796394078272473</v>
      </c>
      <c r="DH8" s="91">
        <f t="shared" si="97"/>
        <v>18.329587758792762</v>
      </c>
      <c r="DI8" s="92">
        <f t="shared" si="98"/>
        <v>90.424899842374202</v>
      </c>
      <c r="DJ8" s="92">
        <f t="shared" si="99"/>
        <v>16.14761585754297</v>
      </c>
      <c r="DK8" s="93">
        <f t="shared" si="100"/>
        <v>90.426258814053668</v>
      </c>
      <c r="DL8" s="91">
        <f t="shared" si="101"/>
        <v>46.02253328065364</v>
      </c>
      <c r="DM8" s="92">
        <f t="shared" si="102"/>
        <v>90.24526043454695</v>
      </c>
      <c r="DN8" s="92">
        <f t="shared" si="103"/>
        <v>43.840561379403852</v>
      </c>
      <c r="DO8" s="93">
        <f t="shared" si="104"/>
        <v>90.246619406226415</v>
      </c>
    </row>
    <row r="9" spans="1:119" x14ac:dyDescent="0.25">
      <c r="A9" s="328" t="s">
        <v>290</v>
      </c>
      <c r="B9" s="328"/>
      <c r="E9" s="12" t="s">
        <v>285</v>
      </c>
      <c r="F9" s="265">
        <f>IF(AND(VinMax&lt;=Parts!E8,VinMin&gt;=Parts!D8),1,0)</f>
        <v>0</v>
      </c>
      <c r="G9" s="265">
        <f>IF(AND(Fsw_Input&gt;Parts!I8,Fsw_Input&lt;Parts!J8),1,0)</f>
        <v>1</v>
      </c>
      <c r="H9" s="265">
        <f>1</f>
        <v>1</v>
      </c>
      <c r="I9" s="12">
        <f>PRODUCT(F9:H9)</f>
        <v>0</v>
      </c>
      <c r="J9" s="12"/>
      <c r="K9" s="58">
        <v>5</v>
      </c>
      <c r="L9" s="131">
        <f t="shared" si="55"/>
        <v>12.9</v>
      </c>
      <c r="M9" s="130">
        <f t="shared" si="56"/>
        <v>0.51679586563307489</v>
      </c>
      <c r="N9" s="132">
        <f t="shared" si="0"/>
        <v>0.25475467790937956</v>
      </c>
      <c r="O9" s="52">
        <f t="shared" si="57"/>
        <v>0.18013876028871703</v>
      </c>
      <c r="P9" s="21">
        <f t="shared" si="58"/>
        <v>2.0286020648339487</v>
      </c>
      <c r="Q9" s="19">
        <f t="shared" si="59"/>
        <v>4.0572041296678973</v>
      </c>
      <c r="R9" s="6">
        <f t="shared" si="1"/>
        <v>2.9320684076650614</v>
      </c>
      <c r="S9" s="55">
        <f t="shared" si="60"/>
        <v>1.1822989808678703</v>
      </c>
      <c r="T9" s="133">
        <f t="shared" si="61"/>
        <v>1.0633686629884131</v>
      </c>
      <c r="U9" s="54">
        <f t="shared" si="2"/>
        <v>0.23706792697452767</v>
      </c>
      <c r="V9" s="21">
        <f t="shared" si="62"/>
        <v>4.2182002971133556</v>
      </c>
      <c r="W9" s="21">
        <f t="shared" si="63"/>
        <v>1.185776861683703</v>
      </c>
      <c r="X9" s="63">
        <f t="shared" si="64"/>
        <v>1.0752054527877226</v>
      </c>
      <c r="Y9" s="54">
        <f t="shared" si="3"/>
        <v>0.23706792697452767</v>
      </c>
      <c r="Z9" s="21">
        <f t="shared" si="4"/>
        <v>4.2182002971133556</v>
      </c>
      <c r="AA9" s="21">
        <f t="shared" si="65"/>
        <v>1.185776861683703</v>
      </c>
      <c r="AB9" s="63">
        <f t="shared" si="66"/>
        <v>1.0752054527877226</v>
      </c>
      <c r="AC9" s="52">
        <f t="shared" si="5"/>
        <v>0</v>
      </c>
      <c r="AD9" s="21">
        <f t="shared" si="6"/>
        <v>0</v>
      </c>
      <c r="AE9" s="21">
        <f t="shared" si="67"/>
        <v>0</v>
      </c>
      <c r="AF9" s="63">
        <f t="shared" si="68"/>
        <v>0</v>
      </c>
      <c r="AG9" s="52">
        <f t="shared" si="7"/>
        <v>0</v>
      </c>
      <c r="AH9" s="21">
        <f t="shared" si="8"/>
        <v>0</v>
      </c>
      <c r="AI9" s="21">
        <f t="shared" si="69"/>
        <v>0</v>
      </c>
      <c r="AJ9" s="63">
        <f t="shared" si="70"/>
        <v>0</v>
      </c>
      <c r="AK9" s="52">
        <f t="shared" si="9"/>
        <v>0</v>
      </c>
      <c r="AL9" s="21">
        <f t="shared" si="10"/>
        <v>0</v>
      </c>
      <c r="AM9" s="21">
        <f t="shared" si="71"/>
        <v>0</v>
      </c>
      <c r="AN9" s="63">
        <f t="shared" si="72"/>
        <v>0</v>
      </c>
      <c r="AO9" s="52">
        <f t="shared" si="73"/>
        <v>0</v>
      </c>
      <c r="AP9" s="21">
        <f t="shared" si="11"/>
        <v>0</v>
      </c>
      <c r="AQ9" s="21">
        <f t="shared" si="74"/>
        <v>0</v>
      </c>
      <c r="AR9" s="181">
        <f t="shared" si="75"/>
        <v>0</v>
      </c>
      <c r="AS9" s="52">
        <f t="shared" si="12"/>
        <v>0.15133499330954489</v>
      </c>
      <c r="AT9" s="21">
        <f t="shared" si="13"/>
        <v>1.3215714067592701</v>
      </c>
      <c r="AU9" s="21">
        <f t="shared" si="14"/>
        <v>0.2968244606676107</v>
      </c>
      <c r="AV9" s="63">
        <f t="shared" si="15"/>
        <v>0.2794722892356557</v>
      </c>
      <c r="AW9" s="182">
        <f t="shared" si="76"/>
        <v>9.2209184765179461E-2</v>
      </c>
      <c r="AX9" s="52">
        <f t="shared" si="77"/>
        <v>0</v>
      </c>
      <c r="AY9" s="74">
        <f t="shared" si="78"/>
        <v>0</v>
      </c>
      <c r="AZ9" s="78">
        <f t="shared" si="79"/>
        <v>0</v>
      </c>
      <c r="BA9" s="87">
        <f t="shared" si="80"/>
        <v>0</v>
      </c>
      <c r="BB9" s="110">
        <f t="shared" si="81"/>
        <v>389.58111577303015</v>
      </c>
      <c r="BC9" s="69">
        <f t="shared" si="82"/>
        <v>0.29218583682977262</v>
      </c>
      <c r="BD9" s="42">
        <f t="shared" si="83"/>
        <v>375.77078305839683</v>
      </c>
      <c r="BE9" s="79">
        <f t="shared" si="84"/>
        <v>0.28182808729379766</v>
      </c>
      <c r="BF9" s="117">
        <f t="shared" si="16"/>
        <v>8.7202684000273513E-3</v>
      </c>
      <c r="BG9" s="118">
        <f t="shared" si="17"/>
        <v>3.6919814164053079E-2</v>
      </c>
      <c r="BH9" s="117">
        <f t="shared" si="18"/>
        <v>6.1943381790359594E-4</v>
      </c>
      <c r="BI9" s="118">
        <f t="shared" si="19"/>
        <v>2.6865194238630905E-2</v>
      </c>
      <c r="BJ9" s="117">
        <f t="shared" si="20"/>
        <v>6.1943381790359594E-4</v>
      </c>
      <c r="BK9" s="118">
        <f t="shared" si="21"/>
        <v>2.6865194238630905E-2</v>
      </c>
      <c r="BL9" s="91">
        <f t="shared" si="22"/>
        <v>0</v>
      </c>
      <c r="BM9" s="93">
        <f t="shared" si="23"/>
        <v>0</v>
      </c>
      <c r="BN9" s="91">
        <f t="shared" si="24"/>
        <v>0</v>
      </c>
      <c r="BO9" s="93">
        <f t="shared" si="25"/>
        <v>0</v>
      </c>
      <c r="BP9" s="91">
        <f t="shared" si="26"/>
        <v>0</v>
      </c>
      <c r="BQ9" s="93">
        <f t="shared" si="27"/>
        <v>0</v>
      </c>
      <c r="BR9" s="91">
        <f t="shared" si="28"/>
        <v>0</v>
      </c>
      <c r="BS9" s="93">
        <f t="shared" si="29"/>
        <v>0</v>
      </c>
      <c r="BT9" s="188">
        <f t="shared" si="30"/>
        <v>4.7302218821729144E-5</v>
      </c>
      <c r="BU9" s="93">
        <f t="shared" si="31"/>
        <v>3.4650633806579114E-3</v>
      </c>
      <c r="BV9" s="117">
        <f t="shared" si="85"/>
        <v>0.10412170427662906</v>
      </c>
      <c r="BW9" s="206">
        <f t="shared" si="86"/>
        <v>0.10412170427662906</v>
      </c>
      <c r="BX9" s="206">
        <f t="shared" si="87"/>
        <v>0.10412170427662906</v>
      </c>
      <c r="BY9" s="97">
        <f t="shared" si="88"/>
        <v>0.39630754110640165</v>
      </c>
      <c r="BZ9" s="123">
        <f t="shared" si="89"/>
        <v>0.38594979157042675</v>
      </c>
      <c r="CA9" s="91">
        <f t="shared" si="90"/>
        <v>1.8695457671480748E-2</v>
      </c>
      <c r="CB9" s="92">
        <f t="shared" si="32"/>
        <v>2.5000000000000001E-3</v>
      </c>
      <c r="CC9" s="92">
        <f t="shared" si="33"/>
        <v>2.5000000000000001E-3</v>
      </c>
      <c r="CD9" s="92">
        <f t="shared" si="34"/>
        <v>0</v>
      </c>
      <c r="CE9" s="92">
        <f t="shared" si="35"/>
        <v>0</v>
      </c>
      <c r="CF9" s="92">
        <f t="shared" si="36"/>
        <v>0</v>
      </c>
      <c r="CG9" s="92">
        <f t="shared" si="37"/>
        <v>0</v>
      </c>
      <c r="CH9" s="92">
        <f t="shared" si="38"/>
        <v>1.0000000000000002E-4</v>
      </c>
      <c r="CI9" s="127">
        <f t="shared" si="91"/>
        <v>2.3795457671480745E-2</v>
      </c>
      <c r="CJ9" s="91">
        <f t="shared" si="92"/>
        <v>1.335389833677196E-3</v>
      </c>
      <c r="CK9" s="92">
        <f t="shared" si="39"/>
        <v>0.03</v>
      </c>
      <c r="CL9" s="92">
        <f t="shared" si="40"/>
        <v>0.11549999999999999</v>
      </c>
      <c r="CM9" s="127">
        <f t="shared" si="93"/>
        <v>0.14683538983367719</v>
      </c>
      <c r="CN9" s="91">
        <f t="shared" si="41"/>
        <v>0.15</v>
      </c>
      <c r="CO9" s="92">
        <f t="shared" si="42"/>
        <v>0.15</v>
      </c>
      <c r="CP9" s="92">
        <f t="shared" si="43"/>
        <v>0</v>
      </c>
      <c r="CQ9" s="92">
        <f t="shared" si="44"/>
        <v>0</v>
      </c>
      <c r="CR9" s="92">
        <f t="shared" si="45"/>
        <v>0</v>
      </c>
      <c r="CS9" s="92">
        <f t="shared" si="46"/>
        <v>0</v>
      </c>
      <c r="CT9" s="92">
        <f t="shared" si="47"/>
        <v>0.03</v>
      </c>
      <c r="CU9" s="127">
        <f t="shared" si="48"/>
        <v>0.32999999999999996</v>
      </c>
      <c r="CV9" s="231">
        <f t="shared" si="49"/>
        <v>0.74245359655976362</v>
      </c>
      <c r="CW9" s="188">
        <f t="shared" si="50"/>
        <v>1.2430844440649214</v>
      </c>
      <c r="CX9" s="206">
        <f t="shared" si="51"/>
        <v>7.2430844440649214</v>
      </c>
      <c r="CY9" s="231">
        <f t="shared" si="52"/>
        <v>0.8283763700858795</v>
      </c>
      <c r="CZ9">
        <f t="shared" si="53"/>
        <v>21.388964346349745</v>
      </c>
      <c r="DA9">
        <f t="shared" si="54"/>
        <v>638.56021323437085</v>
      </c>
      <c r="DD9" s="22">
        <v>6</v>
      </c>
      <c r="DE9" s="22">
        <f t="shared" si="94"/>
        <v>37.699111843077517</v>
      </c>
      <c r="DF9" s="91">
        <f t="shared" si="95"/>
        <v>27.692926662378596</v>
      </c>
      <c r="DG9" s="93">
        <f t="shared" si="96"/>
        <v>-0.21556697672814926</v>
      </c>
      <c r="DH9" s="91">
        <f t="shared" si="97"/>
        <v>16.746071186781503</v>
      </c>
      <c r="DI9" s="92">
        <f t="shared" si="98"/>
        <v>90.509875503833683</v>
      </c>
      <c r="DJ9" s="92">
        <f t="shared" si="99"/>
        <v>14.564099542285401</v>
      </c>
      <c r="DK9" s="93">
        <f t="shared" si="100"/>
        <v>90.511506254897029</v>
      </c>
      <c r="DL9" s="91">
        <f t="shared" si="101"/>
        <v>44.438997849160103</v>
      </c>
      <c r="DM9" s="92">
        <f t="shared" si="102"/>
        <v>90.294308527105528</v>
      </c>
      <c r="DN9" s="92">
        <f t="shared" si="103"/>
        <v>42.257026204664001</v>
      </c>
      <c r="DO9" s="93">
        <f t="shared" si="104"/>
        <v>90.295939278168873</v>
      </c>
    </row>
    <row r="10" spans="1:119" x14ac:dyDescent="0.25">
      <c r="A10" t="s">
        <v>306</v>
      </c>
      <c r="B10" s="8">
        <f>IF(AND(Vout1&lt;&gt;0),((ABS(Vout1)+Vdiode1)*(1-D_spec)*Np)/(VinMin*D_spec),0)</f>
        <v>0.58888888888888891</v>
      </c>
      <c r="C10" s="12"/>
      <c r="E10" s="12" t="s">
        <v>433</v>
      </c>
      <c r="F10" s="265">
        <f>IF(AND(VinMax&lt;=Parts!E9,VinMin&gt;=Parts!D9),1,0)</f>
        <v>0</v>
      </c>
      <c r="G10" s="265">
        <f>IF(AND(Fsw_Input&gt;Parts!I9,Fsw_Input&lt;Parts!J9),1,0)</f>
        <v>1</v>
      </c>
      <c r="H10" s="265">
        <f>1</f>
        <v>1</v>
      </c>
      <c r="I10" s="12">
        <f>PRODUCT(F10:H10)</f>
        <v>0</v>
      </c>
      <c r="J10" s="12"/>
      <c r="K10" s="58">
        <v>6</v>
      </c>
      <c r="L10" s="131">
        <f t="shared" si="55"/>
        <v>13.68</v>
      </c>
      <c r="M10" s="130">
        <f t="shared" si="56"/>
        <v>0.48732943469785578</v>
      </c>
      <c r="N10" s="132">
        <f t="shared" si="0"/>
        <v>0.24022919188823075</v>
      </c>
      <c r="O10" s="52">
        <f t="shared" si="57"/>
        <v>0.16986769062313231</v>
      </c>
      <c r="P10" s="21">
        <f t="shared" si="58"/>
        <v>2.0286020648339487</v>
      </c>
      <c r="Q10" s="19">
        <f t="shared" si="59"/>
        <v>4.0572041296678973</v>
      </c>
      <c r="R10" s="6">
        <f t="shared" si="1"/>
        <v>2.8978678531715336</v>
      </c>
      <c r="S10" s="55">
        <f t="shared" si="60"/>
        <v>1.1480984263743426</v>
      </c>
      <c r="T10" s="133">
        <f t="shared" si="61"/>
        <v>1.0395383680847523</v>
      </c>
      <c r="U10" s="54">
        <f t="shared" si="2"/>
        <v>0.23706792697452767</v>
      </c>
      <c r="V10" s="21">
        <f t="shared" si="62"/>
        <v>4.2182002971133556</v>
      </c>
      <c r="W10" s="21">
        <f t="shared" si="63"/>
        <v>1.185776861683703</v>
      </c>
      <c r="X10" s="63">
        <f t="shared" si="64"/>
        <v>1.0752054527877226</v>
      </c>
      <c r="Y10" s="54">
        <f t="shared" si="3"/>
        <v>0.23706792697452767</v>
      </c>
      <c r="Z10" s="21">
        <f t="shared" si="4"/>
        <v>4.2182002971133556</v>
      </c>
      <c r="AA10" s="21">
        <f t="shared" si="65"/>
        <v>1.185776861683703</v>
      </c>
      <c r="AB10" s="63">
        <f t="shared" si="66"/>
        <v>1.0752054527877226</v>
      </c>
      <c r="AC10" s="52">
        <f t="shared" si="5"/>
        <v>0</v>
      </c>
      <c r="AD10" s="21">
        <f t="shared" si="6"/>
        <v>0</v>
      </c>
      <c r="AE10" s="21">
        <f t="shared" si="67"/>
        <v>0</v>
      </c>
      <c r="AF10" s="63">
        <f t="shared" si="68"/>
        <v>0</v>
      </c>
      <c r="AG10" s="52">
        <f t="shared" si="7"/>
        <v>0</v>
      </c>
      <c r="AH10" s="21">
        <f t="shared" si="8"/>
        <v>0</v>
      </c>
      <c r="AI10" s="21">
        <f t="shared" si="69"/>
        <v>0</v>
      </c>
      <c r="AJ10" s="63">
        <f t="shared" si="70"/>
        <v>0</v>
      </c>
      <c r="AK10" s="52">
        <f t="shared" si="9"/>
        <v>0</v>
      </c>
      <c r="AL10" s="21">
        <f t="shared" si="10"/>
        <v>0</v>
      </c>
      <c r="AM10" s="21">
        <f t="shared" si="71"/>
        <v>0</v>
      </c>
      <c r="AN10" s="63">
        <f t="shared" si="72"/>
        <v>0</v>
      </c>
      <c r="AO10" s="52">
        <f t="shared" si="73"/>
        <v>0</v>
      </c>
      <c r="AP10" s="21">
        <f t="shared" si="11"/>
        <v>0</v>
      </c>
      <c r="AQ10" s="21">
        <f t="shared" si="74"/>
        <v>0</v>
      </c>
      <c r="AR10" s="181">
        <f t="shared" si="75"/>
        <v>0</v>
      </c>
      <c r="AS10" s="52">
        <f t="shared" si="12"/>
        <v>0.15133499330954489</v>
      </c>
      <c r="AT10" s="21">
        <f t="shared" si="13"/>
        <v>1.3215714067592701</v>
      </c>
      <c r="AU10" s="21">
        <f t="shared" si="14"/>
        <v>0.2968244606676107</v>
      </c>
      <c r="AV10" s="63">
        <f t="shared" si="15"/>
        <v>0.2794722892356557</v>
      </c>
      <c r="AW10" s="182">
        <f t="shared" si="76"/>
        <v>9.2209184765179461E-2</v>
      </c>
      <c r="AX10" s="52">
        <f t="shared" si="77"/>
        <v>0</v>
      </c>
      <c r="AY10" s="74">
        <f t="shared" si="78"/>
        <v>0</v>
      </c>
      <c r="AZ10" s="78">
        <f t="shared" si="79"/>
        <v>0</v>
      </c>
      <c r="BA10" s="87">
        <f t="shared" si="80"/>
        <v>0</v>
      </c>
      <c r="BB10" s="110">
        <f t="shared" si="81"/>
        <v>389.58111577303015</v>
      </c>
      <c r="BC10" s="69">
        <f t="shared" si="82"/>
        <v>0.29218583682977262</v>
      </c>
      <c r="BD10" s="42">
        <f t="shared" si="83"/>
        <v>375.77078305839683</v>
      </c>
      <c r="BE10" s="79">
        <f t="shared" si="84"/>
        <v>0.28182808729379766</v>
      </c>
      <c r="BF10" s="117">
        <f t="shared" si="16"/>
        <v>7.7542014233468832E-3</v>
      </c>
      <c r="BG10" s="118">
        <f t="shared" si="17"/>
        <v>3.5283595731378098E-2</v>
      </c>
      <c r="BH10" s="117">
        <f t="shared" si="18"/>
        <v>6.1943381790359594E-4</v>
      </c>
      <c r="BI10" s="118">
        <f t="shared" si="19"/>
        <v>2.6865194238630905E-2</v>
      </c>
      <c r="BJ10" s="117">
        <f t="shared" si="20"/>
        <v>6.1943381790359594E-4</v>
      </c>
      <c r="BK10" s="118">
        <f t="shared" si="21"/>
        <v>2.6865194238630905E-2</v>
      </c>
      <c r="BL10" s="91">
        <f t="shared" si="22"/>
        <v>0</v>
      </c>
      <c r="BM10" s="93">
        <f t="shared" si="23"/>
        <v>0</v>
      </c>
      <c r="BN10" s="91">
        <f t="shared" si="24"/>
        <v>0</v>
      </c>
      <c r="BO10" s="93">
        <f t="shared" si="25"/>
        <v>0</v>
      </c>
      <c r="BP10" s="91">
        <f t="shared" si="26"/>
        <v>0</v>
      </c>
      <c r="BQ10" s="93">
        <f t="shared" si="27"/>
        <v>0</v>
      </c>
      <c r="BR10" s="91">
        <f t="shared" si="28"/>
        <v>0</v>
      </c>
      <c r="BS10" s="93">
        <f t="shared" si="29"/>
        <v>0</v>
      </c>
      <c r="BT10" s="188">
        <f t="shared" si="30"/>
        <v>4.7302218821729144E-5</v>
      </c>
      <c r="BU10" s="93">
        <f t="shared" si="31"/>
        <v>3.4650633806579114E-3</v>
      </c>
      <c r="BV10" s="117">
        <f t="shared" si="85"/>
        <v>0.10151941886727361</v>
      </c>
      <c r="BW10" s="206">
        <f t="shared" si="86"/>
        <v>0.10151941886727361</v>
      </c>
      <c r="BX10" s="206">
        <f t="shared" si="87"/>
        <v>0.10151941886727361</v>
      </c>
      <c r="BY10" s="97">
        <f t="shared" si="88"/>
        <v>0.39370525569704623</v>
      </c>
      <c r="BZ10" s="123">
        <f t="shared" si="89"/>
        <v>0.38334750616107127</v>
      </c>
      <c r="CA10" s="91">
        <f t="shared" si="90"/>
        <v>1.6624298454605217E-2</v>
      </c>
      <c r="CB10" s="92">
        <f t="shared" si="32"/>
        <v>2.5000000000000001E-3</v>
      </c>
      <c r="CC10" s="92">
        <f t="shared" si="33"/>
        <v>2.5000000000000001E-3</v>
      </c>
      <c r="CD10" s="92">
        <f t="shared" si="34"/>
        <v>0</v>
      </c>
      <c r="CE10" s="92">
        <f t="shared" si="35"/>
        <v>0</v>
      </c>
      <c r="CF10" s="92">
        <f t="shared" si="36"/>
        <v>0</v>
      </c>
      <c r="CG10" s="92">
        <f t="shared" si="37"/>
        <v>0</v>
      </c>
      <c r="CH10" s="92">
        <f t="shared" si="38"/>
        <v>1.0000000000000002E-4</v>
      </c>
      <c r="CI10" s="127">
        <f t="shared" si="91"/>
        <v>2.1724298454605214E-2</v>
      </c>
      <c r="CJ10" s="91">
        <f t="shared" si="92"/>
        <v>1.1874498896146583E-3</v>
      </c>
      <c r="CK10" s="92">
        <f t="shared" si="39"/>
        <v>3.0000000000000002E-2</v>
      </c>
      <c r="CL10" s="92">
        <f t="shared" si="40"/>
        <v>0.11549999999999999</v>
      </c>
      <c r="CM10" s="127">
        <f t="shared" si="93"/>
        <v>0.14668744988961466</v>
      </c>
      <c r="CN10" s="91">
        <f t="shared" si="41"/>
        <v>0.15</v>
      </c>
      <c r="CO10" s="92">
        <f t="shared" si="42"/>
        <v>0.15</v>
      </c>
      <c r="CP10" s="92">
        <f t="shared" si="43"/>
        <v>0</v>
      </c>
      <c r="CQ10" s="92">
        <f t="shared" si="44"/>
        <v>0</v>
      </c>
      <c r="CR10" s="92">
        <f t="shared" si="45"/>
        <v>0</v>
      </c>
      <c r="CS10" s="92">
        <f t="shared" si="46"/>
        <v>0</v>
      </c>
      <c r="CT10" s="92">
        <f t="shared" si="47"/>
        <v>0.03</v>
      </c>
      <c r="CU10" s="127">
        <f t="shared" si="48"/>
        <v>0.32999999999999996</v>
      </c>
      <c r="CV10" s="231">
        <f t="shared" si="49"/>
        <v>0.74185827574144148</v>
      </c>
      <c r="CW10" s="188">
        <f t="shared" si="50"/>
        <v>1.2402700240856612</v>
      </c>
      <c r="CX10" s="206">
        <f t="shared" si="51"/>
        <v>7.2402700240856612</v>
      </c>
      <c r="CY10" s="231">
        <f t="shared" si="52"/>
        <v>0.82869837451369244</v>
      </c>
      <c r="CZ10">
        <f t="shared" si="53"/>
        <v>22.168964346349746</v>
      </c>
      <c r="DA10">
        <f t="shared" si="54"/>
        <v>639.34021323437082</v>
      </c>
      <c r="DD10" s="22">
        <v>7</v>
      </c>
      <c r="DE10" s="22">
        <f t="shared" si="94"/>
        <v>43.982297150257104</v>
      </c>
      <c r="DF10" s="91">
        <f t="shared" si="95"/>
        <v>27.692904374005117</v>
      </c>
      <c r="DG10" s="93">
        <f t="shared" si="96"/>
        <v>-0.25149437508720429</v>
      </c>
      <c r="DH10" s="91">
        <f t="shared" si="97"/>
        <v>15.407263439431455</v>
      </c>
      <c r="DI10" s="92">
        <f t="shared" si="98"/>
        <v>90.594848816206053</v>
      </c>
      <c r="DJ10" s="92">
        <f t="shared" si="99"/>
        <v>13.225292098355492</v>
      </c>
      <c r="DK10" s="93">
        <f t="shared" si="100"/>
        <v>90.596751338498734</v>
      </c>
      <c r="DL10" s="91">
        <f t="shared" si="101"/>
        <v>43.10016781343657</v>
      </c>
      <c r="DM10" s="92">
        <f t="shared" si="102"/>
        <v>90.343354441118848</v>
      </c>
      <c r="DN10" s="92">
        <f t="shared" si="103"/>
        <v>40.918196472360606</v>
      </c>
      <c r="DO10" s="93">
        <f t="shared" si="104"/>
        <v>90.345256963411529</v>
      </c>
    </row>
    <row r="11" spans="1:119" x14ac:dyDescent="0.25">
      <c r="A11" t="s">
        <v>307</v>
      </c>
      <c r="B11" s="8">
        <f>IF(n1_Flyback_Calc&lt;&gt;0,n1_Flyback/Np,0)</f>
        <v>0.58899999999999997</v>
      </c>
      <c r="C11" s="12"/>
      <c r="E11" s="12" t="s">
        <v>434</v>
      </c>
      <c r="F11" s="265">
        <f>IF(AND(VinMax&lt;=Parts!E10,VinMin&gt;=Parts!D10),1,0)</f>
        <v>1</v>
      </c>
      <c r="G11" s="265">
        <f>IF(AND(Fsw_Input&gt;Parts!I10,Fsw_Input&lt;Parts!J10),1,0)</f>
        <v>1</v>
      </c>
      <c r="H11" s="265">
        <f>1</f>
        <v>1</v>
      </c>
      <c r="I11" s="12">
        <f>PRODUCT(F11:H11)</f>
        <v>1</v>
      </c>
      <c r="J11" s="12"/>
      <c r="K11" s="58">
        <v>7</v>
      </c>
      <c r="L11" s="131">
        <f t="shared" si="55"/>
        <v>14.46</v>
      </c>
      <c r="M11" s="130">
        <f t="shared" si="56"/>
        <v>0.46104195481788834</v>
      </c>
      <c r="N11" s="132">
        <f t="shared" si="0"/>
        <v>0.22727077074903154</v>
      </c>
      <c r="O11" s="52">
        <f t="shared" si="57"/>
        <v>0.16070470316213345</v>
      </c>
      <c r="P11" s="21">
        <f t="shared" si="58"/>
        <v>2.0286020648339487</v>
      </c>
      <c r="Q11" s="19">
        <f t="shared" si="59"/>
        <v>4.0572041296678973</v>
      </c>
      <c r="R11" s="6">
        <f t="shared" si="1"/>
        <v>2.8664733037007912</v>
      </c>
      <c r="S11" s="55">
        <f t="shared" si="60"/>
        <v>1.1167038769036002</v>
      </c>
      <c r="T11" s="133">
        <f t="shared" si="61"/>
        <v>1.0170879335579748</v>
      </c>
      <c r="U11" s="54">
        <f t="shared" si="2"/>
        <v>0.23706792697452767</v>
      </c>
      <c r="V11" s="21">
        <f t="shared" si="62"/>
        <v>4.2182002971133556</v>
      </c>
      <c r="W11" s="21">
        <f t="shared" si="63"/>
        <v>1.185776861683703</v>
      </c>
      <c r="X11" s="63">
        <f t="shared" si="64"/>
        <v>1.0752054527877226</v>
      </c>
      <c r="Y11" s="54">
        <f t="shared" si="3"/>
        <v>0.23706792697452767</v>
      </c>
      <c r="Z11" s="21">
        <f t="shared" si="4"/>
        <v>4.2182002971133556</v>
      </c>
      <c r="AA11" s="21">
        <f t="shared" si="65"/>
        <v>1.185776861683703</v>
      </c>
      <c r="AB11" s="63">
        <f t="shared" si="66"/>
        <v>1.0752054527877226</v>
      </c>
      <c r="AC11" s="52">
        <f t="shared" si="5"/>
        <v>0</v>
      </c>
      <c r="AD11" s="21">
        <f t="shared" si="6"/>
        <v>0</v>
      </c>
      <c r="AE11" s="21">
        <f t="shared" si="67"/>
        <v>0</v>
      </c>
      <c r="AF11" s="63">
        <f t="shared" si="68"/>
        <v>0</v>
      </c>
      <c r="AG11" s="52">
        <f t="shared" si="7"/>
        <v>0</v>
      </c>
      <c r="AH11" s="21">
        <f t="shared" si="8"/>
        <v>0</v>
      </c>
      <c r="AI11" s="21">
        <f t="shared" si="69"/>
        <v>0</v>
      </c>
      <c r="AJ11" s="63">
        <f t="shared" si="70"/>
        <v>0</v>
      </c>
      <c r="AK11" s="52">
        <f t="shared" si="9"/>
        <v>0</v>
      </c>
      <c r="AL11" s="21">
        <f t="shared" si="10"/>
        <v>0</v>
      </c>
      <c r="AM11" s="21">
        <f t="shared" si="71"/>
        <v>0</v>
      </c>
      <c r="AN11" s="63">
        <f t="shared" si="72"/>
        <v>0</v>
      </c>
      <c r="AO11" s="52">
        <f t="shared" si="73"/>
        <v>0</v>
      </c>
      <c r="AP11" s="21">
        <f t="shared" si="11"/>
        <v>0</v>
      </c>
      <c r="AQ11" s="21">
        <f t="shared" si="74"/>
        <v>0</v>
      </c>
      <c r="AR11" s="181">
        <f t="shared" si="75"/>
        <v>0</v>
      </c>
      <c r="AS11" s="52">
        <f t="shared" si="12"/>
        <v>0.15133499330954489</v>
      </c>
      <c r="AT11" s="21">
        <f t="shared" si="13"/>
        <v>1.3215714067592701</v>
      </c>
      <c r="AU11" s="21">
        <f t="shared" si="14"/>
        <v>0.2968244606676107</v>
      </c>
      <c r="AV11" s="63">
        <f t="shared" si="15"/>
        <v>0.2794722892356557</v>
      </c>
      <c r="AW11" s="182">
        <f t="shared" si="76"/>
        <v>9.2209184765179461E-2</v>
      </c>
      <c r="AX11" s="52">
        <f t="shared" si="77"/>
        <v>0</v>
      </c>
      <c r="AY11" s="74">
        <f t="shared" si="78"/>
        <v>0</v>
      </c>
      <c r="AZ11" s="78">
        <f t="shared" si="79"/>
        <v>0</v>
      </c>
      <c r="BA11" s="87">
        <f t="shared" si="80"/>
        <v>0</v>
      </c>
      <c r="BB11" s="110">
        <f t="shared" si="81"/>
        <v>389.58111577303015</v>
      </c>
      <c r="BC11" s="69">
        <f t="shared" si="82"/>
        <v>0.29218583682977262</v>
      </c>
      <c r="BD11" s="42">
        <f t="shared" si="83"/>
        <v>375.77078305839683</v>
      </c>
      <c r="BE11" s="79">
        <f t="shared" si="84"/>
        <v>0.28182808729379766</v>
      </c>
      <c r="BF11" s="117">
        <f t="shared" si="16"/>
        <v>6.9402112014473622E-3</v>
      </c>
      <c r="BG11" s="118">
        <f t="shared" si="17"/>
        <v>3.3776045027918998E-2</v>
      </c>
      <c r="BH11" s="117">
        <f t="shared" si="18"/>
        <v>6.1943381790359594E-4</v>
      </c>
      <c r="BI11" s="118">
        <f t="shared" si="19"/>
        <v>2.6865194238630905E-2</v>
      </c>
      <c r="BJ11" s="117">
        <f t="shared" si="20"/>
        <v>6.1943381790359594E-4</v>
      </c>
      <c r="BK11" s="118">
        <f t="shared" si="21"/>
        <v>2.6865194238630905E-2</v>
      </c>
      <c r="BL11" s="91">
        <f t="shared" si="22"/>
        <v>0</v>
      </c>
      <c r="BM11" s="93">
        <f t="shared" si="23"/>
        <v>0</v>
      </c>
      <c r="BN11" s="91">
        <f t="shared" si="24"/>
        <v>0</v>
      </c>
      <c r="BO11" s="93">
        <f t="shared" si="25"/>
        <v>0</v>
      </c>
      <c r="BP11" s="91">
        <f t="shared" si="26"/>
        <v>0</v>
      </c>
      <c r="BQ11" s="93">
        <f t="shared" si="27"/>
        <v>0</v>
      </c>
      <c r="BR11" s="91">
        <f t="shared" si="28"/>
        <v>0</v>
      </c>
      <c r="BS11" s="93">
        <f t="shared" si="29"/>
        <v>0</v>
      </c>
      <c r="BT11" s="188">
        <f t="shared" si="30"/>
        <v>4.7302218821729144E-5</v>
      </c>
      <c r="BU11" s="93">
        <f t="shared" si="31"/>
        <v>3.4650633806579114E-3</v>
      </c>
      <c r="BV11" s="117">
        <f t="shared" si="85"/>
        <v>9.9197877941914994E-2</v>
      </c>
      <c r="BW11" s="206">
        <f t="shared" si="86"/>
        <v>9.9197877941914994E-2</v>
      </c>
      <c r="BX11" s="206">
        <f t="shared" si="87"/>
        <v>9.9197877941914994E-2</v>
      </c>
      <c r="BY11" s="97">
        <f t="shared" si="88"/>
        <v>0.3913837147716876</v>
      </c>
      <c r="BZ11" s="123">
        <f t="shared" si="89"/>
        <v>0.38102596523571264</v>
      </c>
      <c r="CA11" s="91">
        <f t="shared" si="90"/>
        <v>1.4879177887160987E-2</v>
      </c>
      <c r="CB11" s="92">
        <f t="shared" si="32"/>
        <v>2.5000000000000001E-3</v>
      </c>
      <c r="CC11" s="92">
        <f t="shared" si="33"/>
        <v>2.5000000000000001E-3</v>
      </c>
      <c r="CD11" s="92">
        <f t="shared" si="34"/>
        <v>0</v>
      </c>
      <c r="CE11" s="92">
        <f t="shared" si="35"/>
        <v>0</v>
      </c>
      <c r="CF11" s="92">
        <f t="shared" si="36"/>
        <v>0</v>
      </c>
      <c r="CG11" s="92">
        <f t="shared" si="37"/>
        <v>0</v>
      </c>
      <c r="CH11" s="92">
        <f t="shared" si="38"/>
        <v>1.0000000000000002E-4</v>
      </c>
      <c r="CI11" s="127">
        <f t="shared" si="91"/>
        <v>1.9979177887160984E-2</v>
      </c>
      <c r="CJ11" s="91">
        <f t="shared" si="92"/>
        <v>1.0627984205114991E-3</v>
      </c>
      <c r="CK11" s="92">
        <f t="shared" si="39"/>
        <v>0.03</v>
      </c>
      <c r="CL11" s="92">
        <f t="shared" si="40"/>
        <v>0.11549999999999999</v>
      </c>
      <c r="CM11" s="127">
        <f t="shared" si="93"/>
        <v>0.14656279842051148</v>
      </c>
      <c r="CN11" s="91">
        <f t="shared" si="41"/>
        <v>0.15</v>
      </c>
      <c r="CO11" s="92">
        <f t="shared" si="42"/>
        <v>0.15</v>
      </c>
      <c r="CP11" s="92">
        <f t="shared" si="43"/>
        <v>0</v>
      </c>
      <c r="CQ11" s="92">
        <f t="shared" si="44"/>
        <v>0</v>
      </c>
      <c r="CR11" s="92">
        <f t="shared" si="45"/>
        <v>0</v>
      </c>
      <c r="CS11" s="92">
        <f t="shared" si="46"/>
        <v>0</v>
      </c>
      <c r="CT11" s="92">
        <f t="shared" si="47"/>
        <v>0.03</v>
      </c>
      <c r="CU11" s="127">
        <f t="shared" si="48"/>
        <v>0.32999999999999996</v>
      </c>
      <c r="CV11" s="231">
        <f t="shared" si="49"/>
        <v>0.74125307817415131</v>
      </c>
      <c r="CW11" s="188">
        <f t="shared" si="50"/>
        <v>1.2377950544818237</v>
      </c>
      <c r="CX11" s="206">
        <f t="shared" si="51"/>
        <v>7.2377950544818237</v>
      </c>
      <c r="CY11" s="231">
        <f t="shared" si="52"/>
        <v>0.82898174856231244</v>
      </c>
      <c r="CZ11">
        <f t="shared" si="53"/>
        <v>22.948964346349747</v>
      </c>
      <c r="DA11">
        <f t="shared" si="54"/>
        <v>640.12021323437091</v>
      </c>
      <c r="DD11" s="22">
        <v>8</v>
      </c>
      <c r="DE11" s="22">
        <f t="shared" si="94"/>
        <v>50.26548245743669</v>
      </c>
      <c r="DF11" s="91">
        <f t="shared" si="95"/>
        <v>27.692878656793241</v>
      </c>
      <c r="DG11" s="93">
        <f t="shared" si="96"/>
        <v>-0.28742157448281191</v>
      </c>
      <c r="DH11" s="91">
        <f t="shared" si="97"/>
        <v>14.247572239717922</v>
      </c>
      <c r="DI11" s="92">
        <f t="shared" si="98"/>
        <v>90.679819388138426</v>
      </c>
      <c r="DJ11" s="92">
        <f t="shared" si="99"/>
        <v>12.065601248720307</v>
      </c>
      <c r="DK11" s="93">
        <f t="shared" si="100"/>
        <v>90.681993672147797</v>
      </c>
      <c r="DL11" s="91">
        <f t="shared" si="101"/>
        <v>41.940450896511166</v>
      </c>
      <c r="DM11" s="92">
        <f t="shared" si="102"/>
        <v>90.39239781365562</v>
      </c>
      <c r="DN11" s="92">
        <f t="shared" si="103"/>
        <v>39.758479905513546</v>
      </c>
      <c r="DO11" s="93">
        <f t="shared" si="104"/>
        <v>90.394572097664991</v>
      </c>
    </row>
    <row r="12" spans="1:119" x14ac:dyDescent="0.25">
      <c r="A12" t="s">
        <v>308</v>
      </c>
      <c r="B12" s="8">
        <f>IF(AND(Vout2&lt;&gt;0,n1_Flyback&lt;&gt;0,IoutPri_FBB=0),((ABS(Vout2)+Vdiode2)*(n1_Flyback/Np))/(ABS(Vout1)+Vdiode1),0)</f>
        <v>0.58899999999999997</v>
      </c>
      <c r="C12" s="12"/>
      <c r="E12" s="12" t="s">
        <v>435</v>
      </c>
      <c r="F12" s="265">
        <f>IF(AND(VinMax&lt;=Parts!E11,VinMin&gt;=Parts!D11),1,0)</f>
        <v>1</v>
      </c>
      <c r="G12" s="265">
        <f>IF(AND(Fsw_Input&gt;Parts!I11,Fsw_Input&lt;Parts!J11),1,0)</f>
        <v>1</v>
      </c>
      <c r="H12" s="265">
        <f>IF('Flyback DCM'!B31&lt;Parts!AA11,1,0)</f>
        <v>0</v>
      </c>
      <c r="I12" s="12">
        <f>PRODUCT(F12:H12)</f>
        <v>0</v>
      </c>
      <c r="J12" s="12">
        <f>IF(SUM(I9:I12)&gt;=1,1,0)</f>
        <v>1</v>
      </c>
      <c r="K12" s="58">
        <v>8</v>
      </c>
      <c r="L12" s="131">
        <f t="shared" si="55"/>
        <v>15.24</v>
      </c>
      <c r="M12" s="130">
        <f t="shared" si="56"/>
        <v>0.43744531933508302</v>
      </c>
      <c r="N12" s="132">
        <f t="shared" si="0"/>
        <v>0.21563880216738823</v>
      </c>
      <c r="O12" s="52">
        <f t="shared" si="57"/>
        <v>0.15247965929950461</v>
      </c>
      <c r="P12" s="21">
        <f t="shared" si="58"/>
        <v>2.0286020648339482</v>
      </c>
      <c r="Q12" s="19">
        <f t="shared" si="59"/>
        <v>4.0572041296678973</v>
      </c>
      <c r="R12" s="6">
        <f t="shared" si="1"/>
        <v>2.8375209168322364</v>
      </c>
      <c r="S12" s="55">
        <f t="shared" si="60"/>
        <v>1.0877514900350451</v>
      </c>
      <c r="T12" s="133">
        <f t="shared" si="61"/>
        <v>0.9959141010475191</v>
      </c>
      <c r="U12" s="54">
        <f t="shared" si="2"/>
        <v>0.23706792697452767</v>
      </c>
      <c r="V12" s="21">
        <f t="shared" si="62"/>
        <v>4.2182002971133556</v>
      </c>
      <c r="W12" s="21">
        <f t="shared" si="63"/>
        <v>1.185776861683703</v>
      </c>
      <c r="X12" s="63">
        <f t="shared" si="64"/>
        <v>1.0752054527877226</v>
      </c>
      <c r="Y12" s="54">
        <f t="shared" si="3"/>
        <v>0.23706792697452767</v>
      </c>
      <c r="Z12" s="21">
        <f t="shared" si="4"/>
        <v>4.2182002971133556</v>
      </c>
      <c r="AA12" s="21">
        <f t="shared" si="65"/>
        <v>1.185776861683703</v>
      </c>
      <c r="AB12" s="63">
        <f t="shared" si="66"/>
        <v>1.0752054527877226</v>
      </c>
      <c r="AC12" s="52">
        <f t="shared" si="5"/>
        <v>0</v>
      </c>
      <c r="AD12" s="21">
        <f t="shared" si="6"/>
        <v>0</v>
      </c>
      <c r="AE12" s="21">
        <f t="shared" si="67"/>
        <v>0</v>
      </c>
      <c r="AF12" s="63">
        <f t="shared" si="68"/>
        <v>0</v>
      </c>
      <c r="AG12" s="52">
        <f t="shared" si="7"/>
        <v>0</v>
      </c>
      <c r="AH12" s="21">
        <f t="shared" si="8"/>
        <v>0</v>
      </c>
      <c r="AI12" s="21">
        <f t="shared" si="69"/>
        <v>0</v>
      </c>
      <c r="AJ12" s="63">
        <f t="shared" si="70"/>
        <v>0</v>
      </c>
      <c r="AK12" s="52">
        <f t="shared" si="9"/>
        <v>0</v>
      </c>
      <c r="AL12" s="21">
        <f t="shared" si="10"/>
        <v>0</v>
      </c>
      <c r="AM12" s="21">
        <f t="shared" si="71"/>
        <v>0</v>
      </c>
      <c r="AN12" s="63">
        <f t="shared" si="72"/>
        <v>0</v>
      </c>
      <c r="AO12" s="52">
        <f t="shared" si="73"/>
        <v>0</v>
      </c>
      <c r="AP12" s="21">
        <f t="shared" si="11"/>
        <v>0</v>
      </c>
      <c r="AQ12" s="21">
        <f t="shared" si="74"/>
        <v>0</v>
      </c>
      <c r="AR12" s="181">
        <f t="shared" si="75"/>
        <v>0</v>
      </c>
      <c r="AS12" s="52">
        <f t="shared" si="12"/>
        <v>0.15133499330954489</v>
      </c>
      <c r="AT12" s="21">
        <f t="shared" si="13"/>
        <v>1.3215714067592701</v>
      </c>
      <c r="AU12" s="21">
        <f t="shared" si="14"/>
        <v>0.2968244606676107</v>
      </c>
      <c r="AV12" s="63">
        <f t="shared" si="15"/>
        <v>0.2794722892356557</v>
      </c>
      <c r="AW12" s="182">
        <f t="shared" si="76"/>
        <v>9.2209184765179461E-2</v>
      </c>
      <c r="AX12" s="52">
        <f t="shared" si="77"/>
        <v>0</v>
      </c>
      <c r="AY12" s="74">
        <f t="shared" si="78"/>
        <v>0</v>
      </c>
      <c r="AZ12" s="78">
        <f t="shared" si="79"/>
        <v>0</v>
      </c>
      <c r="BA12" s="87">
        <f t="shared" si="80"/>
        <v>0</v>
      </c>
      <c r="BB12" s="110">
        <f t="shared" si="81"/>
        <v>389.58111577303015</v>
      </c>
      <c r="BC12" s="69">
        <f t="shared" si="82"/>
        <v>0.29218583682977262</v>
      </c>
      <c r="BD12" s="42">
        <f t="shared" si="83"/>
        <v>375.77078305839683</v>
      </c>
      <c r="BE12" s="79">
        <f t="shared" si="84"/>
        <v>0.28182808729379766</v>
      </c>
      <c r="BF12" s="117">
        <f t="shared" si="16"/>
        <v>6.2479758012161969E-3</v>
      </c>
      <c r="BG12" s="118">
        <f t="shared" si="17"/>
        <v>3.2384377550269211E-2</v>
      </c>
      <c r="BH12" s="117">
        <f t="shared" si="18"/>
        <v>6.1943381790359594E-4</v>
      </c>
      <c r="BI12" s="118">
        <f t="shared" si="19"/>
        <v>2.6865194238630905E-2</v>
      </c>
      <c r="BJ12" s="117">
        <f t="shared" si="20"/>
        <v>6.1943381790359594E-4</v>
      </c>
      <c r="BK12" s="118">
        <f t="shared" si="21"/>
        <v>2.6865194238630905E-2</v>
      </c>
      <c r="BL12" s="91">
        <f t="shared" si="22"/>
        <v>0</v>
      </c>
      <c r="BM12" s="93">
        <f t="shared" si="23"/>
        <v>0</v>
      </c>
      <c r="BN12" s="91">
        <f t="shared" si="24"/>
        <v>0</v>
      </c>
      <c r="BO12" s="93">
        <f t="shared" si="25"/>
        <v>0</v>
      </c>
      <c r="BP12" s="91">
        <f t="shared" si="26"/>
        <v>0</v>
      </c>
      <c r="BQ12" s="93">
        <f t="shared" si="27"/>
        <v>0</v>
      </c>
      <c r="BR12" s="91">
        <f t="shared" si="28"/>
        <v>0</v>
      </c>
      <c r="BS12" s="93">
        <f t="shared" si="29"/>
        <v>0</v>
      </c>
      <c r="BT12" s="188">
        <f t="shared" si="30"/>
        <v>4.7302218821729144E-5</v>
      </c>
      <c r="BU12" s="93">
        <f t="shared" si="31"/>
        <v>3.4650633806579114E-3</v>
      </c>
      <c r="BV12" s="117">
        <f t="shared" si="85"/>
        <v>9.7113975064034033E-2</v>
      </c>
      <c r="BW12" s="206">
        <f t="shared" si="86"/>
        <v>9.7113975064034033E-2</v>
      </c>
      <c r="BX12" s="206">
        <f t="shared" si="87"/>
        <v>9.7113975064034033E-2</v>
      </c>
      <c r="BY12" s="97">
        <f t="shared" si="88"/>
        <v>0.38929981189380664</v>
      </c>
      <c r="BZ12" s="123">
        <f t="shared" si="89"/>
        <v>0.37894206235783168</v>
      </c>
      <c r="CA12" s="91">
        <f t="shared" si="90"/>
        <v>1.3395088518572094E-2</v>
      </c>
      <c r="CB12" s="92">
        <f t="shared" si="32"/>
        <v>2.5000000000000001E-3</v>
      </c>
      <c r="CC12" s="92">
        <f t="shared" si="33"/>
        <v>2.5000000000000001E-3</v>
      </c>
      <c r="CD12" s="92">
        <f t="shared" si="34"/>
        <v>0</v>
      </c>
      <c r="CE12" s="92">
        <f t="shared" si="35"/>
        <v>0</v>
      </c>
      <c r="CF12" s="92">
        <f t="shared" si="36"/>
        <v>0</v>
      </c>
      <c r="CG12" s="92">
        <f t="shared" si="37"/>
        <v>0</v>
      </c>
      <c r="CH12" s="92">
        <f t="shared" si="38"/>
        <v>1.0000000000000002E-4</v>
      </c>
      <c r="CI12" s="127">
        <f t="shared" si="91"/>
        <v>1.8495088518572091E-2</v>
      </c>
      <c r="CJ12" s="91">
        <f t="shared" si="92"/>
        <v>9.5679203704086379E-4</v>
      </c>
      <c r="CK12" s="92">
        <f t="shared" si="39"/>
        <v>2.9999999999999995E-2</v>
      </c>
      <c r="CL12" s="92">
        <f t="shared" si="40"/>
        <v>0.11549999999999999</v>
      </c>
      <c r="CM12" s="127">
        <f t="shared" si="93"/>
        <v>0.14645679203704084</v>
      </c>
      <c r="CN12" s="91">
        <f t="shared" si="41"/>
        <v>0.15</v>
      </c>
      <c r="CO12" s="92">
        <f t="shared" si="42"/>
        <v>0.15</v>
      </c>
      <c r="CP12" s="92">
        <f t="shared" si="43"/>
        <v>0</v>
      </c>
      <c r="CQ12" s="92">
        <f t="shared" si="44"/>
        <v>0</v>
      </c>
      <c r="CR12" s="92">
        <f t="shared" si="45"/>
        <v>0</v>
      </c>
      <c r="CS12" s="92">
        <f t="shared" si="46"/>
        <v>0</v>
      </c>
      <c r="CT12" s="92">
        <f t="shared" si="47"/>
        <v>0.03</v>
      </c>
      <c r="CU12" s="127">
        <f t="shared" si="48"/>
        <v>0.32999999999999996</v>
      </c>
      <c r="CV12" s="231">
        <f t="shared" si="49"/>
        <v>0.74063775600964332</v>
      </c>
      <c r="CW12" s="188">
        <f t="shared" si="50"/>
        <v>1.2355896365652561</v>
      </c>
      <c r="CX12" s="206">
        <f t="shared" si="51"/>
        <v>7.2355896365652566</v>
      </c>
      <c r="CY12" s="231">
        <f t="shared" si="52"/>
        <v>0.82923442336735498</v>
      </c>
      <c r="CZ12">
        <f t="shared" si="53"/>
        <v>23.728964346349748</v>
      </c>
      <c r="DA12">
        <f t="shared" si="54"/>
        <v>640.90021323437088</v>
      </c>
      <c r="DD12" s="22">
        <v>9</v>
      </c>
      <c r="DE12" s="22">
        <f t="shared" si="94"/>
        <v>56.548667764616276</v>
      </c>
      <c r="DF12" s="91">
        <f t="shared" si="95"/>
        <v>27.692849510803882</v>
      </c>
      <c r="DG12" s="93">
        <f t="shared" si="96"/>
        <v>-0.32334854649431632</v>
      </c>
      <c r="DH12" s="91">
        <f t="shared" si="97"/>
        <v>13.224689223177474</v>
      </c>
      <c r="DI12" s="92">
        <f t="shared" si="98"/>
        <v>90.764786828352499</v>
      </c>
      <c r="DJ12" s="92">
        <f t="shared" si="99"/>
        <v>11.042718628907238</v>
      </c>
      <c r="DK12" s="93">
        <f t="shared" si="100"/>
        <v>90.767232863208136</v>
      </c>
      <c r="DL12" s="91">
        <f t="shared" si="101"/>
        <v>40.91753873398136</v>
      </c>
      <c r="DM12" s="92">
        <f t="shared" si="102"/>
        <v>90.441438281858183</v>
      </c>
      <c r="DN12" s="92">
        <f t="shared" si="103"/>
        <v>38.73556813971112</v>
      </c>
      <c r="DO12" s="93">
        <f t="shared" si="104"/>
        <v>90.44388431671382</v>
      </c>
    </row>
    <row r="13" spans="1:119" x14ac:dyDescent="0.25">
      <c r="A13" t="s">
        <v>309</v>
      </c>
      <c r="B13" s="8">
        <f>IF(n2_Flyback_Calc&lt;&gt;0,n2_Flyback/Np,0)</f>
        <v>0.58899999999999997</v>
      </c>
      <c r="C13" s="12"/>
      <c r="K13" s="58">
        <v>9</v>
      </c>
      <c r="L13" s="131">
        <f t="shared" si="55"/>
        <v>16.02</v>
      </c>
      <c r="M13" s="130">
        <f t="shared" si="56"/>
        <v>0.41614648356221395</v>
      </c>
      <c r="N13" s="132">
        <f t="shared" si="0"/>
        <v>0.20513953464612961</v>
      </c>
      <c r="O13" s="52">
        <f t="shared" si="57"/>
        <v>0.14505555603773096</v>
      </c>
      <c r="P13" s="21">
        <f t="shared" si="58"/>
        <v>2.0286020648339491</v>
      </c>
      <c r="Q13" s="19">
        <f t="shared" si="59"/>
        <v>4.0572041296678965</v>
      </c>
      <c r="R13" s="6">
        <f t="shared" si="1"/>
        <v>2.810709648693281</v>
      </c>
      <c r="S13" s="55">
        <f t="shared" si="60"/>
        <v>1.0609402218960899</v>
      </c>
      <c r="T13" s="133">
        <f t="shared" si="61"/>
        <v>0.9759181618638566</v>
      </c>
      <c r="U13" s="54">
        <f t="shared" si="2"/>
        <v>0.23706792697452767</v>
      </c>
      <c r="V13" s="21">
        <f t="shared" si="62"/>
        <v>4.2182002971133556</v>
      </c>
      <c r="W13" s="21">
        <f t="shared" si="63"/>
        <v>1.185776861683703</v>
      </c>
      <c r="X13" s="63">
        <f t="shared" si="64"/>
        <v>1.0752054527877226</v>
      </c>
      <c r="Y13" s="54">
        <f t="shared" si="3"/>
        <v>0.23706792697452767</v>
      </c>
      <c r="Z13" s="21">
        <f t="shared" si="4"/>
        <v>4.2182002971133556</v>
      </c>
      <c r="AA13" s="21">
        <f t="shared" si="65"/>
        <v>1.185776861683703</v>
      </c>
      <c r="AB13" s="63">
        <f t="shared" si="66"/>
        <v>1.0752054527877226</v>
      </c>
      <c r="AC13" s="52">
        <f t="shared" si="5"/>
        <v>0</v>
      </c>
      <c r="AD13" s="21">
        <f t="shared" si="6"/>
        <v>0</v>
      </c>
      <c r="AE13" s="21">
        <f t="shared" si="67"/>
        <v>0</v>
      </c>
      <c r="AF13" s="63">
        <f t="shared" si="68"/>
        <v>0</v>
      </c>
      <c r="AG13" s="52">
        <f t="shared" si="7"/>
        <v>0</v>
      </c>
      <c r="AH13" s="21">
        <f t="shared" si="8"/>
        <v>0</v>
      </c>
      <c r="AI13" s="21">
        <f t="shared" si="69"/>
        <v>0</v>
      </c>
      <c r="AJ13" s="63">
        <f t="shared" si="70"/>
        <v>0</v>
      </c>
      <c r="AK13" s="52">
        <f t="shared" si="9"/>
        <v>0</v>
      </c>
      <c r="AL13" s="21">
        <f t="shared" si="10"/>
        <v>0</v>
      </c>
      <c r="AM13" s="21">
        <f t="shared" si="71"/>
        <v>0</v>
      </c>
      <c r="AN13" s="63">
        <f t="shared" si="72"/>
        <v>0</v>
      </c>
      <c r="AO13" s="52">
        <f t="shared" si="73"/>
        <v>0</v>
      </c>
      <c r="AP13" s="21">
        <f t="shared" si="11"/>
        <v>0</v>
      </c>
      <c r="AQ13" s="21">
        <f t="shared" si="74"/>
        <v>0</v>
      </c>
      <c r="AR13" s="181">
        <f t="shared" si="75"/>
        <v>0</v>
      </c>
      <c r="AS13" s="52">
        <f t="shared" si="12"/>
        <v>0.15133499330954489</v>
      </c>
      <c r="AT13" s="21">
        <f t="shared" si="13"/>
        <v>1.3215714067592701</v>
      </c>
      <c r="AU13" s="21">
        <f t="shared" si="14"/>
        <v>0.2968244606676107</v>
      </c>
      <c r="AV13" s="63">
        <f t="shared" si="15"/>
        <v>0.2794722892356557</v>
      </c>
      <c r="AW13" s="182">
        <f t="shared" si="76"/>
        <v>9.2209184765179447E-2</v>
      </c>
      <c r="AX13" s="52">
        <f t="shared" si="77"/>
        <v>0</v>
      </c>
      <c r="AY13" s="74">
        <f t="shared" si="78"/>
        <v>0</v>
      </c>
      <c r="AZ13" s="78">
        <f t="shared" si="79"/>
        <v>0</v>
      </c>
      <c r="BA13" s="87">
        <f t="shared" si="80"/>
        <v>0</v>
      </c>
      <c r="BB13" s="110">
        <f t="shared" si="81"/>
        <v>389.58111577303015</v>
      </c>
      <c r="BC13" s="69">
        <f t="shared" si="82"/>
        <v>0.29218583682977262</v>
      </c>
      <c r="BD13" s="42">
        <f t="shared" si="83"/>
        <v>375.77078305839683</v>
      </c>
      <c r="BE13" s="79">
        <f t="shared" si="84"/>
        <v>0.28182808729379766</v>
      </c>
      <c r="BF13" s="117">
        <f t="shared" si="16"/>
        <v>5.6543703347117285E-3</v>
      </c>
      <c r="BG13" s="118">
        <f t="shared" si="17"/>
        <v>3.1097007010896092E-2</v>
      </c>
      <c r="BH13" s="117">
        <f t="shared" si="18"/>
        <v>6.1943381790359594E-4</v>
      </c>
      <c r="BI13" s="118">
        <f t="shared" si="19"/>
        <v>2.6865194238630905E-2</v>
      </c>
      <c r="BJ13" s="117">
        <f t="shared" si="20"/>
        <v>6.1943381790359594E-4</v>
      </c>
      <c r="BK13" s="118">
        <f t="shared" si="21"/>
        <v>2.6865194238630905E-2</v>
      </c>
      <c r="BL13" s="91">
        <f t="shared" si="22"/>
        <v>0</v>
      </c>
      <c r="BM13" s="93">
        <f t="shared" si="23"/>
        <v>0</v>
      </c>
      <c r="BN13" s="91">
        <f t="shared" si="24"/>
        <v>0</v>
      </c>
      <c r="BO13" s="93">
        <f t="shared" si="25"/>
        <v>0</v>
      </c>
      <c r="BP13" s="91">
        <f t="shared" si="26"/>
        <v>0</v>
      </c>
      <c r="BQ13" s="93">
        <f t="shared" si="27"/>
        <v>0</v>
      </c>
      <c r="BR13" s="91">
        <f t="shared" si="28"/>
        <v>0</v>
      </c>
      <c r="BS13" s="93">
        <f t="shared" si="29"/>
        <v>0</v>
      </c>
      <c r="BT13" s="188">
        <f t="shared" si="30"/>
        <v>4.7302218821729144E-5</v>
      </c>
      <c r="BU13" s="93">
        <f t="shared" si="31"/>
        <v>3.4650633806579114E-3</v>
      </c>
      <c r="BV13" s="117">
        <f t="shared" si="85"/>
        <v>9.5232999058156451E-2</v>
      </c>
      <c r="BW13" s="206">
        <f t="shared" si="86"/>
        <v>9.5232999058156451E-2</v>
      </c>
      <c r="BX13" s="206">
        <f t="shared" si="87"/>
        <v>9.5232999058156451E-2</v>
      </c>
      <c r="BY13" s="97">
        <f t="shared" si="88"/>
        <v>0.38741883588792908</v>
      </c>
      <c r="BZ13" s="123">
        <f t="shared" si="89"/>
        <v>0.37706108635195412</v>
      </c>
      <c r="CA13" s="91">
        <f t="shared" si="90"/>
        <v>1.2122452704683722E-2</v>
      </c>
      <c r="CB13" s="92">
        <f t="shared" si="32"/>
        <v>2.5000000000000001E-3</v>
      </c>
      <c r="CC13" s="92">
        <f t="shared" si="33"/>
        <v>2.5000000000000001E-3</v>
      </c>
      <c r="CD13" s="92">
        <f t="shared" si="34"/>
        <v>0</v>
      </c>
      <c r="CE13" s="92">
        <f t="shared" si="35"/>
        <v>0</v>
      </c>
      <c r="CF13" s="92">
        <f t="shared" si="36"/>
        <v>0</v>
      </c>
      <c r="CG13" s="92">
        <f t="shared" si="37"/>
        <v>0</v>
      </c>
      <c r="CH13" s="92">
        <f t="shared" si="38"/>
        <v>1.0000000000000002E-4</v>
      </c>
      <c r="CI13" s="127">
        <f t="shared" si="91"/>
        <v>1.722245270468372E-2</v>
      </c>
      <c r="CJ13" s="91">
        <f t="shared" si="92"/>
        <v>8.6588947890597998E-4</v>
      </c>
      <c r="CK13" s="92">
        <f t="shared" si="39"/>
        <v>3.0000000000000002E-2</v>
      </c>
      <c r="CL13" s="92">
        <f t="shared" si="40"/>
        <v>0.11549999999999999</v>
      </c>
      <c r="CM13" s="127">
        <f t="shared" si="93"/>
        <v>0.14636588947890597</v>
      </c>
      <c r="CN13" s="91">
        <f t="shared" si="41"/>
        <v>0.15</v>
      </c>
      <c r="CO13" s="92">
        <f t="shared" si="42"/>
        <v>0.15</v>
      </c>
      <c r="CP13" s="92">
        <f t="shared" si="43"/>
        <v>0</v>
      </c>
      <c r="CQ13" s="92">
        <f t="shared" si="44"/>
        <v>0</v>
      </c>
      <c r="CR13" s="92">
        <f t="shared" si="45"/>
        <v>0</v>
      </c>
      <c r="CS13" s="92">
        <f t="shared" si="46"/>
        <v>0</v>
      </c>
      <c r="CT13" s="92">
        <f t="shared" si="47"/>
        <v>0.03</v>
      </c>
      <c r="CU13" s="127">
        <f t="shared" si="48"/>
        <v>0.32999999999999996</v>
      </c>
      <c r="CV13" s="231">
        <f t="shared" si="49"/>
        <v>0.74001205303700768</v>
      </c>
      <c r="CW13" s="188">
        <f t="shared" si="50"/>
        <v>1.2336003952205972</v>
      </c>
      <c r="CX13" s="206">
        <f t="shared" si="51"/>
        <v>7.2336003952205967</v>
      </c>
      <c r="CY13" s="231">
        <f t="shared" si="52"/>
        <v>0.82946246297546866</v>
      </c>
      <c r="CZ13">
        <f t="shared" si="53"/>
        <v>24.508964346349746</v>
      </c>
      <c r="DA13">
        <f t="shared" si="54"/>
        <v>641.68021323437074</v>
      </c>
      <c r="DD13" s="22">
        <v>10</v>
      </c>
      <c r="DE13" s="22">
        <f t="shared" si="94"/>
        <v>62.831853071795862</v>
      </c>
      <c r="DF13" s="91">
        <f t="shared" si="95"/>
        <v>27.69281693610607</v>
      </c>
      <c r="DG13" s="93">
        <f t="shared" si="96"/>
        <v>-0.35927526270213739</v>
      </c>
      <c r="DH13" s="91">
        <f t="shared" si="97"/>
        <v>12.30972653465945</v>
      </c>
      <c r="DI13" s="92">
        <f t="shared" si="98"/>
        <v>90.8497507456552</v>
      </c>
      <c r="DJ13" s="92">
        <f t="shared" si="99"/>
        <v>10.127756383754969</v>
      </c>
      <c r="DK13" s="93">
        <f t="shared" si="100"/>
        <v>90.852468519129502</v>
      </c>
      <c r="DL13" s="91">
        <f t="shared" si="101"/>
        <v>40.002543470765517</v>
      </c>
      <c r="DM13" s="92">
        <f t="shared" si="102"/>
        <v>90.490475482953059</v>
      </c>
      <c r="DN13" s="92">
        <f t="shared" si="103"/>
        <v>37.82057331986104</v>
      </c>
      <c r="DO13" s="93">
        <f t="shared" si="104"/>
        <v>90.493193256427361</v>
      </c>
    </row>
    <row r="14" spans="1:119" x14ac:dyDescent="0.25">
      <c r="A14" t="s">
        <v>310</v>
      </c>
      <c r="B14" s="8">
        <f>IF(AND(Vout3&lt;&gt;0,n1_Flyback&lt;&gt;0,IoutPri_FBB=0),((ABS(Vout3)+Vdiode3)*(n1_Flyback/Np))/(ABS(Vout1)+Vdiode1),0)</f>
        <v>0</v>
      </c>
      <c r="C14" s="12"/>
      <c r="K14" s="58">
        <v>10</v>
      </c>
      <c r="L14" s="131">
        <f t="shared" si="55"/>
        <v>16.8</v>
      </c>
      <c r="M14" s="130">
        <f t="shared" si="56"/>
        <v>0.39682539682539675</v>
      </c>
      <c r="N14" s="132">
        <f t="shared" si="0"/>
        <v>0.19561519910898789</v>
      </c>
      <c r="O14" s="52">
        <f t="shared" si="57"/>
        <v>0.13832083379312202</v>
      </c>
      <c r="P14" s="21">
        <f t="shared" si="58"/>
        <v>2.0286020648339482</v>
      </c>
      <c r="Q14" s="19">
        <f t="shared" si="59"/>
        <v>4.0572041296678973</v>
      </c>
      <c r="R14" s="6">
        <f t="shared" si="1"/>
        <v>2.7857879719198486</v>
      </c>
      <c r="S14" s="55">
        <f t="shared" si="60"/>
        <v>1.0360185451226576</v>
      </c>
      <c r="T14" s="133">
        <f t="shared" si="61"/>
        <v>0.95700785277469613</v>
      </c>
      <c r="U14" s="54">
        <f t="shared" si="2"/>
        <v>0.23706792697452767</v>
      </c>
      <c r="V14" s="21">
        <f t="shared" si="62"/>
        <v>4.2182002971133556</v>
      </c>
      <c r="W14" s="21">
        <f t="shared" si="63"/>
        <v>1.185776861683703</v>
      </c>
      <c r="X14" s="63">
        <f t="shared" si="64"/>
        <v>1.0752054527877226</v>
      </c>
      <c r="Y14" s="54">
        <f t="shared" si="3"/>
        <v>0.23706792697452767</v>
      </c>
      <c r="Z14" s="21">
        <f t="shared" si="4"/>
        <v>4.2182002971133556</v>
      </c>
      <c r="AA14" s="21">
        <f t="shared" si="65"/>
        <v>1.185776861683703</v>
      </c>
      <c r="AB14" s="63">
        <f t="shared" si="66"/>
        <v>1.0752054527877226</v>
      </c>
      <c r="AC14" s="52">
        <f t="shared" si="5"/>
        <v>0</v>
      </c>
      <c r="AD14" s="21">
        <f t="shared" si="6"/>
        <v>0</v>
      </c>
      <c r="AE14" s="21">
        <f t="shared" si="67"/>
        <v>0</v>
      </c>
      <c r="AF14" s="63">
        <f t="shared" si="68"/>
        <v>0</v>
      </c>
      <c r="AG14" s="52">
        <f t="shared" si="7"/>
        <v>0</v>
      </c>
      <c r="AH14" s="21">
        <f t="shared" si="8"/>
        <v>0</v>
      </c>
      <c r="AI14" s="21">
        <f t="shared" si="69"/>
        <v>0</v>
      </c>
      <c r="AJ14" s="63">
        <f t="shared" si="70"/>
        <v>0</v>
      </c>
      <c r="AK14" s="52">
        <f t="shared" si="9"/>
        <v>0</v>
      </c>
      <c r="AL14" s="21">
        <f t="shared" si="10"/>
        <v>0</v>
      </c>
      <c r="AM14" s="21">
        <f t="shared" si="71"/>
        <v>0</v>
      </c>
      <c r="AN14" s="63">
        <f t="shared" si="72"/>
        <v>0</v>
      </c>
      <c r="AO14" s="52">
        <f t="shared" si="73"/>
        <v>0</v>
      </c>
      <c r="AP14" s="21">
        <f t="shared" si="11"/>
        <v>0</v>
      </c>
      <c r="AQ14" s="21">
        <f t="shared" si="74"/>
        <v>0</v>
      </c>
      <c r="AR14" s="181">
        <f t="shared" si="75"/>
        <v>0</v>
      </c>
      <c r="AS14" s="52">
        <f t="shared" si="12"/>
        <v>0.15133499330954489</v>
      </c>
      <c r="AT14" s="21">
        <f t="shared" si="13"/>
        <v>1.3215714067592701</v>
      </c>
      <c r="AU14" s="21">
        <f t="shared" si="14"/>
        <v>0.2968244606676107</v>
      </c>
      <c r="AV14" s="63">
        <f t="shared" si="15"/>
        <v>0.2794722892356557</v>
      </c>
      <c r="AW14" s="182">
        <f t="shared" si="76"/>
        <v>9.2209184765179461E-2</v>
      </c>
      <c r="AX14" s="52">
        <f t="shared" si="77"/>
        <v>0</v>
      </c>
      <c r="AY14" s="74">
        <f t="shared" si="78"/>
        <v>0</v>
      </c>
      <c r="AZ14" s="78">
        <f t="shared" si="79"/>
        <v>0</v>
      </c>
      <c r="BA14" s="87">
        <f t="shared" si="80"/>
        <v>0</v>
      </c>
      <c r="BB14" s="110">
        <f t="shared" si="81"/>
        <v>389.58111577303015</v>
      </c>
      <c r="BC14" s="69">
        <f t="shared" si="82"/>
        <v>0.29218583682977262</v>
      </c>
      <c r="BD14" s="42">
        <f t="shared" si="83"/>
        <v>375.77078305839683</v>
      </c>
      <c r="BE14" s="79">
        <f t="shared" si="84"/>
        <v>0.28182808729379766</v>
      </c>
      <c r="BF14" s="117">
        <f t="shared" si="16"/>
        <v>5.1415102907049004E-3</v>
      </c>
      <c r="BG14" s="118">
        <f t="shared" si="17"/>
        <v>2.9903553106714009E-2</v>
      </c>
      <c r="BH14" s="117">
        <f t="shared" si="18"/>
        <v>6.1943381790359594E-4</v>
      </c>
      <c r="BI14" s="118">
        <f t="shared" si="19"/>
        <v>2.6865194238630905E-2</v>
      </c>
      <c r="BJ14" s="117">
        <f t="shared" si="20"/>
        <v>6.1943381790359594E-4</v>
      </c>
      <c r="BK14" s="118">
        <f t="shared" si="21"/>
        <v>2.6865194238630905E-2</v>
      </c>
      <c r="BL14" s="91">
        <f t="shared" si="22"/>
        <v>0</v>
      </c>
      <c r="BM14" s="93">
        <f t="shared" si="23"/>
        <v>0</v>
      </c>
      <c r="BN14" s="91">
        <f t="shared" si="24"/>
        <v>0</v>
      </c>
      <c r="BO14" s="93">
        <f t="shared" si="25"/>
        <v>0</v>
      </c>
      <c r="BP14" s="91">
        <f t="shared" si="26"/>
        <v>0</v>
      </c>
      <c r="BQ14" s="93">
        <f t="shared" si="27"/>
        <v>0</v>
      </c>
      <c r="BR14" s="91">
        <f t="shared" si="28"/>
        <v>0</v>
      </c>
      <c r="BS14" s="93">
        <f t="shared" si="29"/>
        <v>0</v>
      </c>
      <c r="BT14" s="188">
        <f t="shared" si="30"/>
        <v>4.7302218821729144E-5</v>
      </c>
      <c r="BU14" s="93">
        <f t="shared" si="31"/>
        <v>3.4650633806579114E-3</v>
      </c>
      <c r="BV14" s="117">
        <f t="shared" si="85"/>
        <v>9.3526685109967547E-2</v>
      </c>
      <c r="BW14" s="206">
        <f t="shared" si="86"/>
        <v>9.3526685109967547E-2</v>
      </c>
      <c r="BX14" s="206">
        <f t="shared" si="87"/>
        <v>9.3526685109967547E-2</v>
      </c>
      <c r="BY14" s="97">
        <f t="shared" si="88"/>
        <v>0.38571252193974015</v>
      </c>
      <c r="BZ14" s="123">
        <f t="shared" si="89"/>
        <v>0.37535477240376519</v>
      </c>
      <c r="CA14" s="91">
        <f t="shared" si="90"/>
        <v>1.1022927689594354E-2</v>
      </c>
      <c r="CB14" s="92">
        <f t="shared" si="32"/>
        <v>2.5000000000000001E-3</v>
      </c>
      <c r="CC14" s="92">
        <f t="shared" si="33"/>
        <v>2.5000000000000001E-3</v>
      </c>
      <c r="CD14" s="92">
        <f t="shared" si="34"/>
        <v>0</v>
      </c>
      <c r="CE14" s="92">
        <f t="shared" si="35"/>
        <v>0</v>
      </c>
      <c r="CF14" s="92">
        <f t="shared" si="36"/>
        <v>0</v>
      </c>
      <c r="CG14" s="92">
        <f t="shared" si="37"/>
        <v>0</v>
      </c>
      <c r="CH14" s="92">
        <f t="shared" si="38"/>
        <v>1.0000000000000002E-4</v>
      </c>
      <c r="CI14" s="127">
        <f t="shared" si="91"/>
        <v>1.6122927689594353E-2</v>
      </c>
      <c r="CJ14" s="91">
        <f t="shared" si="92"/>
        <v>7.8735197782816809E-4</v>
      </c>
      <c r="CK14" s="92">
        <f t="shared" si="39"/>
        <v>0.03</v>
      </c>
      <c r="CL14" s="92">
        <f t="shared" si="40"/>
        <v>0.11549999999999999</v>
      </c>
      <c r="CM14" s="127">
        <f t="shared" si="93"/>
        <v>0.14628735197782816</v>
      </c>
      <c r="CN14" s="91">
        <f t="shared" si="41"/>
        <v>0.15</v>
      </c>
      <c r="CO14" s="92">
        <f t="shared" si="42"/>
        <v>0.15</v>
      </c>
      <c r="CP14" s="92">
        <f t="shared" si="43"/>
        <v>0</v>
      </c>
      <c r="CQ14" s="92">
        <f t="shared" si="44"/>
        <v>0</v>
      </c>
      <c r="CR14" s="92">
        <f t="shared" si="45"/>
        <v>0</v>
      </c>
      <c r="CS14" s="92">
        <f t="shared" si="46"/>
        <v>0</v>
      </c>
      <c r="CT14" s="92">
        <f t="shared" si="47"/>
        <v>0.03</v>
      </c>
      <c r="CU14" s="127">
        <f t="shared" si="48"/>
        <v>0.32999999999999996</v>
      </c>
      <c r="CV14" s="231">
        <f t="shared" si="49"/>
        <v>0.73937570432696809</v>
      </c>
      <c r="CW14" s="188">
        <f t="shared" si="50"/>
        <v>1.2317859839943905</v>
      </c>
      <c r="CX14" s="206">
        <f t="shared" si="51"/>
        <v>7.2317859839943903</v>
      </c>
      <c r="CY14" s="231">
        <f t="shared" si="52"/>
        <v>0.82967057007485889</v>
      </c>
      <c r="CZ14">
        <f t="shared" si="53"/>
        <v>25.288964346349747</v>
      </c>
      <c r="DA14">
        <f t="shared" si="54"/>
        <v>642.46021323437083</v>
      </c>
      <c r="DD14" s="22">
        <v>20</v>
      </c>
      <c r="DE14" s="22">
        <f t="shared" si="94"/>
        <v>125.66370614359172</v>
      </c>
      <c r="DF14" s="91">
        <f t="shared" si="95"/>
        <v>27.692302631155371</v>
      </c>
      <c r="DG14" s="93">
        <f t="shared" si="96"/>
        <v>-0.71852210430988783</v>
      </c>
      <c r="DH14" s="91">
        <f t="shared" si="97"/>
        <v>6.2920801215869702</v>
      </c>
      <c r="DI14" s="92">
        <f t="shared" si="98"/>
        <v>91.699110178280989</v>
      </c>
      <c r="DJ14" s="92">
        <f t="shared" si="99"/>
        <v>4.1101169662488681</v>
      </c>
      <c r="DK14" s="93">
        <f t="shared" si="100"/>
        <v>91.704544367308671</v>
      </c>
      <c r="DL14" s="91">
        <f t="shared" si="101"/>
        <v>33.984382752742341</v>
      </c>
      <c r="DM14" s="92">
        <f t="shared" si="102"/>
        <v>90.980588073971106</v>
      </c>
      <c r="DN14" s="92">
        <f t="shared" si="103"/>
        <v>31.802419597404239</v>
      </c>
      <c r="DO14" s="93">
        <f t="shared" si="104"/>
        <v>90.986022262998787</v>
      </c>
    </row>
    <row r="15" spans="1:119" x14ac:dyDescent="0.25">
      <c r="A15" t="s">
        <v>311</v>
      </c>
      <c r="B15" s="8">
        <f>IF(n3_Flyback_Calc&lt;&gt;0,n3_Flyback/Np,0)</f>
        <v>0</v>
      </c>
      <c r="C15" s="12"/>
      <c r="K15" s="58">
        <v>11</v>
      </c>
      <c r="L15" s="131">
        <f t="shared" si="55"/>
        <v>17.579999999999998</v>
      </c>
      <c r="M15" s="130">
        <f t="shared" si="56"/>
        <v>0.37921880925293899</v>
      </c>
      <c r="N15" s="132">
        <f t="shared" si="0"/>
        <v>0.18693602645227514</v>
      </c>
      <c r="O15" s="52">
        <f t="shared" si="57"/>
        <v>0.13218373195247157</v>
      </c>
      <c r="P15" s="21">
        <f t="shared" si="58"/>
        <v>2.0286020648339487</v>
      </c>
      <c r="Q15" s="19">
        <f t="shared" si="59"/>
        <v>4.0572041296678973</v>
      </c>
      <c r="R15" s="6">
        <f t="shared" si="1"/>
        <v>2.7625438732062513</v>
      </c>
      <c r="S15" s="55">
        <f t="shared" si="60"/>
        <v>1.01277444640906</v>
      </c>
      <c r="T15" s="133">
        <f t="shared" si="61"/>
        <v>0.93909806410617247</v>
      </c>
      <c r="U15" s="54">
        <f t="shared" si="2"/>
        <v>0.23706792697452767</v>
      </c>
      <c r="V15" s="21">
        <f t="shared" si="62"/>
        <v>4.2182002971133556</v>
      </c>
      <c r="W15" s="21">
        <f t="shared" si="63"/>
        <v>1.185776861683703</v>
      </c>
      <c r="X15" s="63">
        <f t="shared" si="64"/>
        <v>1.0752054527877226</v>
      </c>
      <c r="Y15" s="54">
        <f t="shared" si="3"/>
        <v>0.23706792697452767</v>
      </c>
      <c r="Z15" s="21">
        <f t="shared" si="4"/>
        <v>4.2182002971133556</v>
      </c>
      <c r="AA15" s="21">
        <f t="shared" si="65"/>
        <v>1.185776861683703</v>
      </c>
      <c r="AB15" s="63">
        <f t="shared" si="66"/>
        <v>1.0752054527877226</v>
      </c>
      <c r="AC15" s="52">
        <f t="shared" si="5"/>
        <v>0</v>
      </c>
      <c r="AD15" s="21">
        <f t="shared" si="6"/>
        <v>0</v>
      </c>
      <c r="AE15" s="21">
        <f t="shared" si="67"/>
        <v>0</v>
      </c>
      <c r="AF15" s="63">
        <f t="shared" si="68"/>
        <v>0</v>
      </c>
      <c r="AG15" s="52">
        <f t="shared" si="7"/>
        <v>0</v>
      </c>
      <c r="AH15" s="21">
        <f t="shared" si="8"/>
        <v>0</v>
      </c>
      <c r="AI15" s="21">
        <f t="shared" si="69"/>
        <v>0</v>
      </c>
      <c r="AJ15" s="63">
        <f t="shared" si="70"/>
        <v>0</v>
      </c>
      <c r="AK15" s="52">
        <f t="shared" si="9"/>
        <v>0</v>
      </c>
      <c r="AL15" s="21">
        <f t="shared" si="10"/>
        <v>0</v>
      </c>
      <c r="AM15" s="21">
        <f t="shared" si="71"/>
        <v>0</v>
      </c>
      <c r="AN15" s="63">
        <f t="shared" si="72"/>
        <v>0</v>
      </c>
      <c r="AO15" s="52">
        <f t="shared" si="73"/>
        <v>0</v>
      </c>
      <c r="AP15" s="21">
        <f t="shared" si="11"/>
        <v>0</v>
      </c>
      <c r="AQ15" s="21">
        <f t="shared" si="74"/>
        <v>0</v>
      </c>
      <c r="AR15" s="181">
        <f t="shared" si="75"/>
        <v>0</v>
      </c>
      <c r="AS15" s="52">
        <f t="shared" si="12"/>
        <v>0.15133499330954489</v>
      </c>
      <c r="AT15" s="21">
        <f t="shared" si="13"/>
        <v>1.3215714067592701</v>
      </c>
      <c r="AU15" s="21">
        <f t="shared" si="14"/>
        <v>0.2968244606676107</v>
      </c>
      <c r="AV15" s="63">
        <f t="shared" si="15"/>
        <v>0.2794722892356557</v>
      </c>
      <c r="AW15" s="182">
        <f t="shared" si="76"/>
        <v>9.2209184765179461E-2</v>
      </c>
      <c r="AX15" s="52">
        <f t="shared" si="77"/>
        <v>0</v>
      </c>
      <c r="AY15" s="74">
        <f t="shared" si="78"/>
        <v>0</v>
      </c>
      <c r="AZ15" s="78">
        <f t="shared" si="79"/>
        <v>0</v>
      </c>
      <c r="BA15" s="87">
        <f t="shared" si="80"/>
        <v>0</v>
      </c>
      <c r="BB15" s="110">
        <f t="shared" si="81"/>
        <v>389.58111577303015</v>
      </c>
      <c r="BC15" s="69">
        <f t="shared" si="82"/>
        <v>0.29218583682977262</v>
      </c>
      <c r="BD15" s="42">
        <f t="shared" si="83"/>
        <v>375.77078305839683</v>
      </c>
      <c r="BE15" s="79">
        <f t="shared" si="84"/>
        <v>0.28182808729379766</v>
      </c>
      <c r="BF15" s="117">
        <f t="shared" si="16"/>
        <v>4.6953884936489004E-3</v>
      </c>
      <c r="BG15" s="118">
        <f t="shared" si="17"/>
        <v>2.8794774479993745E-2</v>
      </c>
      <c r="BH15" s="117">
        <f t="shared" si="18"/>
        <v>6.1943381790359594E-4</v>
      </c>
      <c r="BI15" s="118">
        <f t="shared" si="19"/>
        <v>2.6865194238630905E-2</v>
      </c>
      <c r="BJ15" s="117">
        <f t="shared" si="20"/>
        <v>6.1943381790359594E-4</v>
      </c>
      <c r="BK15" s="118">
        <f t="shared" si="21"/>
        <v>2.6865194238630905E-2</v>
      </c>
      <c r="BL15" s="91">
        <f t="shared" si="22"/>
        <v>0</v>
      </c>
      <c r="BM15" s="93">
        <f t="shared" si="23"/>
        <v>0</v>
      </c>
      <c r="BN15" s="91">
        <f t="shared" si="24"/>
        <v>0</v>
      </c>
      <c r="BO15" s="93">
        <f t="shared" si="25"/>
        <v>0</v>
      </c>
      <c r="BP15" s="91">
        <f t="shared" si="26"/>
        <v>0</v>
      </c>
      <c r="BQ15" s="93">
        <f t="shared" si="27"/>
        <v>0</v>
      </c>
      <c r="BR15" s="91">
        <f t="shared" si="28"/>
        <v>0</v>
      </c>
      <c r="BS15" s="93">
        <f t="shared" si="29"/>
        <v>0</v>
      </c>
      <c r="BT15" s="188">
        <f t="shared" si="30"/>
        <v>4.7302218821729144E-5</v>
      </c>
      <c r="BU15" s="93">
        <f t="shared" si="31"/>
        <v>3.4650633806579114E-3</v>
      </c>
      <c r="BV15" s="117">
        <f t="shared" si="85"/>
        <v>9.1971784686191271E-2</v>
      </c>
      <c r="BW15" s="206">
        <f t="shared" si="86"/>
        <v>9.1971784686191271E-2</v>
      </c>
      <c r="BX15" s="206">
        <f t="shared" si="87"/>
        <v>9.1971784686191271E-2</v>
      </c>
      <c r="BY15" s="97">
        <f t="shared" si="88"/>
        <v>0.38415762151596389</v>
      </c>
      <c r="BZ15" s="123">
        <f t="shared" si="89"/>
        <v>0.37379987197998893</v>
      </c>
      <c r="CA15" s="91">
        <f t="shared" si="90"/>
        <v>1.0066483370385185E-2</v>
      </c>
      <c r="CB15" s="92">
        <f t="shared" si="32"/>
        <v>2.5000000000000001E-3</v>
      </c>
      <c r="CC15" s="92">
        <f t="shared" si="33"/>
        <v>2.5000000000000001E-3</v>
      </c>
      <c r="CD15" s="92">
        <f t="shared" si="34"/>
        <v>0</v>
      </c>
      <c r="CE15" s="92">
        <f t="shared" si="35"/>
        <v>0</v>
      </c>
      <c r="CF15" s="92">
        <f t="shared" si="36"/>
        <v>0</v>
      </c>
      <c r="CG15" s="92">
        <f t="shared" si="37"/>
        <v>0</v>
      </c>
      <c r="CH15" s="92">
        <f t="shared" si="38"/>
        <v>1.0000000000000002E-4</v>
      </c>
      <c r="CI15" s="127">
        <f t="shared" si="91"/>
        <v>1.5166483370385186E-2</v>
      </c>
      <c r="CJ15" s="91">
        <f t="shared" si="92"/>
        <v>7.1903452645608469E-4</v>
      </c>
      <c r="CK15" s="92">
        <f t="shared" si="39"/>
        <v>3.0000000000000002E-2</v>
      </c>
      <c r="CL15" s="92">
        <f t="shared" si="40"/>
        <v>0.11549999999999999</v>
      </c>
      <c r="CM15" s="127">
        <f t="shared" si="93"/>
        <v>0.14621903452645607</v>
      </c>
      <c r="CN15" s="91">
        <f t="shared" si="41"/>
        <v>0.15</v>
      </c>
      <c r="CO15" s="92">
        <f t="shared" si="42"/>
        <v>0.15</v>
      </c>
      <c r="CP15" s="92">
        <f t="shared" si="43"/>
        <v>0</v>
      </c>
      <c r="CQ15" s="92">
        <f t="shared" si="44"/>
        <v>0</v>
      </c>
      <c r="CR15" s="92">
        <f t="shared" si="45"/>
        <v>0</v>
      </c>
      <c r="CS15" s="92">
        <f t="shared" si="46"/>
        <v>0</v>
      </c>
      <c r="CT15" s="92">
        <f t="shared" si="47"/>
        <v>0.03</v>
      </c>
      <c r="CU15" s="127">
        <f t="shared" si="48"/>
        <v>0.32999999999999996</v>
      </c>
      <c r="CV15" s="231">
        <f t="shared" si="49"/>
        <v>0.73872843585786152</v>
      </c>
      <c r="CW15" s="188">
        <f t="shared" si="50"/>
        <v>1.2301139537547026</v>
      </c>
      <c r="CX15" s="206">
        <f t="shared" si="51"/>
        <v>7.230113953754703</v>
      </c>
      <c r="CY15" s="231">
        <f t="shared" si="52"/>
        <v>0.82986243901233581</v>
      </c>
      <c r="CZ15">
        <f t="shared" si="53"/>
        <v>26.068964346349745</v>
      </c>
      <c r="DA15">
        <f t="shared" si="54"/>
        <v>643.24021323437091</v>
      </c>
      <c r="DD15" s="22">
        <v>30</v>
      </c>
      <c r="DE15" s="22">
        <f t="shared" si="94"/>
        <v>188.49555921538757</v>
      </c>
      <c r="DF15" s="91">
        <f t="shared" si="95"/>
        <v>27.691445591561219</v>
      </c>
      <c r="DG15" s="93">
        <f t="shared" si="96"/>
        <v>-1.0777121171893822</v>
      </c>
      <c r="DH15" s="91">
        <f t="shared" si="97"/>
        <v>2.7751729795986253</v>
      </c>
      <c r="DI15" s="92">
        <f t="shared" si="98"/>
        <v>92.547688048494095</v>
      </c>
      <c r="DJ15" s="92">
        <f t="shared" si="99"/>
        <v>0.59322146290412925</v>
      </c>
      <c r="DK15" s="93">
        <f t="shared" si="100"/>
        <v>92.555835943387123</v>
      </c>
      <c r="DL15" s="91">
        <f t="shared" si="101"/>
        <v>30.466618571159845</v>
      </c>
      <c r="DM15" s="92">
        <f t="shared" si="102"/>
        <v>91.469975931304717</v>
      </c>
      <c r="DN15" s="92">
        <f t="shared" si="103"/>
        <v>28.284667054465348</v>
      </c>
      <c r="DO15" s="93">
        <f t="shared" si="104"/>
        <v>91.478123826197745</v>
      </c>
    </row>
    <row r="16" spans="1:119" x14ac:dyDescent="0.25">
      <c r="A16" t="s">
        <v>312</v>
      </c>
      <c r="B16" s="8">
        <f>IF(AND(Vout4&lt;&gt;0,n1_Flyback&lt;&gt;0,IoutPri_FBB=0),((ABS(Vout4)+Vdiode4)*(n1_Flyback/Np))/(ABS(Vout1)+Vdiode1),0)</f>
        <v>0</v>
      </c>
      <c r="C16" s="12"/>
      <c r="K16" s="58">
        <v>12</v>
      </c>
      <c r="L16" s="131">
        <f t="shared" si="55"/>
        <v>18.36</v>
      </c>
      <c r="M16" s="130">
        <f t="shared" si="56"/>
        <v>0.36310820624546114</v>
      </c>
      <c r="N16" s="132">
        <f t="shared" si="0"/>
        <v>0.17899429983828957</v>
      </c>
      <c r="O16" s="52">
        <f t="shared" si="57"/>
        <v>0.1265680832093927</v>
      </c>
      <c r="P16" s="21">
        <f t="shared" si="58"/>
        <v>2.0286020648339487</v>
      </c>
      <c r="Q16" s="19">
        <f t="shared" si="59"/>
        <v>4.0572041296678973</v>
      </c>
      <c r="R16" s="6">
        <f t="shared" si="1"/>
        <v>2.7407972144652559</v>
      </c>
      <c r="S16" s="55">
        <f t="shared" si="60"/>
        <v>0.99102778766806454</v>
      </c>
      <c r="T16" s="133">
        <f t="shared" si="61"/>
        <v>0.92211089706578253</v>
      </c>
      <c r="U16" s="54">
        <f t="shared" si="2"/>
        <v>0.23706792697452767</v>
      </c>
      <c r="V16" s="21">
        <f t="shared" si="62"/>
        <v>4.2182002971133556</v>
      </c>
      <c r="W16" s="21">
        <f t="shared" si="63"/>
        <v>1.185776861683703</v>
      </c>
      <c r="X16" s="63">
        <f t="shared" si="64"/>
        <v>1.0752054527877226</v>
      </c>
      <c r="Y16" s="54">
        <f t="shared" si="3"/>
        <v>0.23706792697452767</v>
      </c>
      <c r="Z16" s="21">
        <f t="shared" si="4"/>
        <v>4.2182002971133556</v>
      </c>
      <c r="AA16" s="21">
        <f t="shared" si="65"/>
        <v>1.185776861683703</v>
      </c>
      <c r="AB16" s="63">
        <f t="shared" si="66"/>
        <v>1.0752054527877226</v>
      </c>
      <c r="AC16" s="52">
        <f t="shared" si="5"/>
        <v>0</v>
      </c>
      <c r="AD16" s="21">
        <f t="shared" si="6"/>
        <v>0</v>
      </c>
      <c r="AE16" s="21">
        <f t="shared" si="67"/>
        <v>0</v>
      </c>
      <c r="AF16" s="63">
        <f t="shared" si="68"/>
        <v>0</v>
      </c>
      <c r="AG16" s="52">
        <f t="shared" si="7"/>
        <v>0</v>
      </c>
      <c r="AH16" s="21">
        <f t="shared" si="8"/>
        <v>0</v>
      </c>
      <c r="AI16" s="21">
        <f t="shared" si="69"/>
        <v>0</v>
      </c>
      <c r="AJ16" s="63">
        <f t="shared" si="70"/>
        <v>0</v>
      </c>
      <c r="AK16" s="52">
        <f t="shared" si="9"/>
        <v>0</v>
      </c>
      <c r="AL16" s="21">
        <f t="shared" si="10"/>
        <v>0</v>
      </c>
      <c r="AM16" s="21">
        <f t="shared" si="71"/>
        <v>0</v>
      </c>
      <c r="AN16" s="63">
        <f t="shared" si="72"/>
        <v>0</v>
      </c>
      <c r="AO16" s="52">
        <f t="shared" si="73"/>
        <v>0</v>
      </c>
      <c r="AP16" s="21">
        <f t="shared" si="11"/>
        <v>0</v>
      </c>
      <c r="AQ16" s="21">
        <f t="shared" si="74"/>
        <v>0</v>
      </c>
      <c r="AR16" s="181">
        <f t="shared" si="75"/>
        <v>0</v>
      </c>
      <c r="AS16" s="52">
        <f t="shared" si="12"/>
        <v>0.15133499330954489</v>
      </c>
      <c r="AT16" s="21">
        <f t="shared" si="13"/>
        <v>1.3215714067592701</v>
      </c>
      <c r="AU16" s="21">
        <f t="shared" si="14"/>
        <v>0.2968244606676107</v>
      </c>
      <c r="AV16" s="63">
        <f t="shared" si="15"/>
        <v>0.2794722892356557</v>
      </c>
      <c r="AW16" s="182">
        <f t="shared" si="76"/>
        <v>9.2209184765179461E-2</v>
      </c>
      <c r="AX16" s="52">
        <f t="shared" si="77"/>
        <v>0</v>
      </c>
      <c r="AY16" s="74">
        <f t="shared" si="78"/>
        <v>0</v>
      </c>
      <c r="AZ16" s="78">
        <f t="shared" si="79"/>
        <v>0</v>
      </c>
      <c r="BA16" s="87">
        <f t="shared" si="80"/>
        <v>0</v>
      </c>
      <c r="BB16" s="110">
        <f t="shared" si="81"/>
        <v>389.58111577303015</v>
      </c>
      <c r="BC16" s="69">
        <f t="shared" si="82"/>
        <v>0.29218583682977262</v>
      </c>
      <c r="BD16" s="42">
        <f t="shared" si="83"/>
        <v>375.77078305839683</v>
      </c>
      <c r="BE16" s="79">
        <f t="shared" si="84"/>
        <v>0.28182808729379766</v>
      </c>
      <c r="BF16" s="117">
        <f t="shared" si="16"/>
        <v>4.3049084411045362E-3</v>
      </c>
      <c r="BG16" s="118">
        <f t="shared" si="17"/>
        <v>2.7762469831043492E-2</v>
      </c>
      <c r="BH16" s="117">
        <f t="shared" si="18"/>
        <v>6.1943381790359594E-4</v>
      </c>
      <c r="BI16" s="118">
        <f t="shared" si="19"/>
        <v>2.6865194238630905E-2</v>
      </c>
      <c r="BJ16" s="117">
        <f t="shared" si="20"/>
        <v>6.1943381790359594E-4</v>
      </c>
      <c r="BK16" s="118">
        <f t="shared" si="21"/>
        <v>2.6865194238630905E-2</v>
      </c>
      <c r="BL16" s="91">
        <f t="shared" si="22"/>
        <v>0</v>
      </c>
      <c r="BM16" s="93">
        <f t="shared" si="23"/>
        <v>0</v>
      </c>
      <c r="BN16" s="91">
        <f t="shared" si="24"/>
        <v>0</v>
      </c>
      <c r="BO16" s="93">
        <f t="shared" si="25"/>
        <v>0</v>
      </c>
      <c r="BP16" s="91">
        <f t="shared" si="26"/>
        <v>0</v>
      </c>
      <c r="BQ16" s="93">
        <f t="shared" si="27"/>
        <v>0</v>
      </c>
      <c r="BR16" s="91">
        <f t="shared" si="28"/>
        <v>0</v>
      </c>
      <c r="BS16" s="93">
        <f t="shared" si="29"/>
        <v>0</v>
      </c>
      <c r="BT16" s="188">
        <f t="shared" si="30"/>
        <v>4.7302218821729144E-5</v>
      </c>
      <c r="BU16" s="93">
        <f t="shared" si="31"/>
        <v>3.4650633806579114E-3</v>
      </c>
      <c r="BV16" s="117">
        <f t="shared" si="85"/>
        <v>9.0548999984696663E-2</v>
      </c>
      <c r="BW16" s="206">
        <f t="shared" si="86"/>
        <v>9.0548999984696663E-2</v>
      </c>
      <c r="BX16" s="206">
        <f t="shared" si="87"/>
        <v>9.0548999984696663E-2</v>
      </c>
      <c r="BY16" s="97">
        <f t="shared" si="88"/>
        <v>0.38273483681446929</v>
      </c>
      <c r="BZ16" s="123">
        <f t="shared" si="89"/>
        <v>0.37237708727849433</v>
      </c>
      <c r="CA16" s="91">
        <f t="shared" si="90"/>
        <v>9.2293298609957448E-3</v>
      </c>
      <c r="CB16" s="92">
        <f t="shared" si="32"/>
        <v>2.5000000000000001E-3</v>
      </c>
      <c r="CC16" s="92">
        <f t="shared" si="33"/>
        <v>2.5000000000000001E-3</v>
      </c>
      <c r="CD16" s="92">
        <f t="shared" si="34"/>
        <v>0</v>
      </c>
      <c r="CE16" s="92">
        <f t="shared" si="35"/>
        <v>0</v>
      </c>
      <c r="CF16" s="92">
        <f t="shared" si="36"/>
        <v>0</v>
      </c>
      <c r="CG16" s="92">
        <f t="shared" si="37"/>
        <v>0</v>
      </c>
      <c r="CH16" s="92">
        <f t="shared" si="38"/>
        <v>1.0000000000000002E-4</v>
      </c>
      <c r="CI16" s="127">
        <f t="shared" si="91"/>
        <v>1.4329329860995745E-2</v>
      </c>
      <c r="CJ16" s="91">
        <f t="shared" si="92"/>
        <v>6.5923784721398182E-4</v>
      </c>
      <c r="CK16" s="92">
        <f t="shared" si="39"/>
        <v>0.03</v>
      </c>
      <c r="CL16" s="92">
        <f t="shared" si="40"/>
        <v>0.11549999999999999</v>
      </c>
      <c r="CM16" s="127">
        <f t="shared" si="93"/>
        <v>0.14615923784721396</v>
      </c>
      <c r="CN16" s="91">
        <f t="shared" si="41"/>
        <v>0.15</v>
      </c>
      <c r="CO16" s="92">
        <f t="shared" si="42"/>
        <v>0.15</v>
      </c>
      <c r="CP16" s="92">
        <f t="shared" si="43"/>
        <v>0</v>
      </c>
      <c r="CQ16" s="92">
        <f t="shared" si="44"/>
        <v>0</v>
      </c>
      <c r="CR16" s="92">
        <f t="shared" si="45"/>
        <v>0</v>
      </c>
      <c r="CS16" s="92">
        <f t="shared" si="46"/>
        <v>0</v>
      </c>
      <c r="CT16" s="92">
        <f t="shared" si="47"/>
        <v>0.03</v>
      </c>
      <c r="CU16" s="127">
        <f t="shared" si="48"/>
        <v>0.32999999999999996</v>
      </c>
      <c r="CV16" s="231">
        <f t="shared" si="49"/>
        <v>0.73806996412220105</v>
      </c>
      <c r="CW16" s="188">
        <f t="shared" si="50"/>
        <v>1.2285585318304109</v>
      </c>
      <c r="CX16" s="206">
        <f t="shared" si="51"/>
        <v>7.2285585318304104</v>
      </c>
      <c r="CY16" s="231">
        <f t="shared" si="52"/>
        <v>0.83004100659619118</v>
      </c>
      <c r="CZ16">
        <f t="shared" si="53"/>
        <v>26.848964346349746</v>
      </c>
      <c r="DA16">
        <f t="shared" si="54"/>
        <v>644.02021323437089</v>
      </c>
      <c r="DD16" s="22">
        <v>40</v>
      </c>
      <c r="DE16" s="22">
        <f t="shared" si="94"/>
        <v>251.32741228718345</v>
      </c>
      <c r="DF16" s="91">
        <f t="shared" si="95"/>
        <v>27.690246020196977</v>
      </c>
      <c r="DG16" s="93">
        <f t="shared" si="96"/>
        <v>-1.4368169206118389</v>
      </c>
      <c r="DH16" s="91">
        <f t="shared" si="97"/>
        <v>0.28327415483735802</v>
      </c>
      <c r="DI16" s="92">
        <f t="shared" si="98"/>
        <v>93.395096226985942</v>
      </c>
      <c r="DJ16" s="92">
        <f t="shared" si="99"/>
        <v>-1.8986611109398919</v>
      </c>
      <c r="DK16" s="93">
        <f t="shared" si="100"/>
        <v>93.405953778538375</v>
      </c>
      <c r="DL16" s="91">
        <f t="shared" si="101"/>
        <v>27.973520175034334</v>
      </c>
      <c r="DM16" s="92">
        <f t="shared" si="102"/>
        <v>91.958279306374109</v>
      </c>
      <c r="DN16" s="92">
        <f t="shared" si="103"/>
        <v>25.791584909257086</v>
      </c>
      <c r="DO16" s="93">
        <f t="shared" si="104"/>
        <v>91.969136857926543</v>
      </c>
    </row>
    <row r="17" spans="1:119" x14ac:dyDescent="0.25">
      <c r="A17" t="s">
        <v>313</v>
      </c>
      <c r="B17" s="8">
        <f>IF(n4_Flyback_Calc&lt;&gt;0,n4_Flyback/Np,0)</f>
        <v>0</v>
      </c>
      <c r="C17" s="12"/>
      <c r="K17" s="58">
        <v>13</v>
      </c>
      <c r="L17" s="131">
        <f t="shared" si="55"/>
        <v>19.14</v>
      </c>
      <c r="M17" s="130">
        <f t="shared" si="56"/>
        <v>0.34831069313827934</v>
      </c>
      <c r="N17" s="132">
        <f t="shared" si="0"/>
        <v>0.17169986128688591</v>
      </c>
      <c r="O17" s="52">
        <f t="shared" si="57"/>
        <v>0.1214101362447466</v>
      </c>
      <c r="P17" s="21">
        <f t="shared" si="58"/>
        <v>2.0286020648339487</v>
      </c>
      <c r="Q17" s="19">
        <f t="shared" si="59"/>
        <v>4.0572041296678973</v>
      </c>
      <c r="R17" s="6">
        <f t="shared" si="1"/>
        <v>2.720393824666286</v>
      </c>
      <c r="S17" s="55">
        <f t="shared" si="60"/>
        <v>0.97062439786909493</v>
      </c>
      <c r="T17" s="133">
        <f t="shared" si="61"/>
        <v>0.90597537647790105</v>
      </c>
      <c r="U17" s="54">
        <f t="shared" si="2"/>
        <v>0.23706792697452767</v>
      </c>
      <c r="V17" s="21">
        <f t="shared" si="62"/>
        <v>4.2182002971133556</v>
      </c>
      <c r="W17" s="21">
        <f t="shared" si="63"/>
        <v>1.185776861683703</v>
      </c>
      <c r="X17" s="63">
        <f t="shared" si="64"/>
        <v>1.0752054527877226</v>
      </c>
      <c r="Y17" s="54">
        <f t="shared" si="3"/>
        <v>0.23706792697452767</v>
      </c>
      <c r="Z17" s="21">
        <f t="shared" si="4"/>
        <v>4.2182002971133556</v>
      </c>
      <c r="AA17" s="21">
        <f t="shared" si="65"/>
        <v>1.185776861683703</v>
      </c>
      <c r="AB17" s="63">
        <f t="shared" si="66"/>
        <v>1.0752054527877226</v>
      </c>
      <c r="AC17" s="52">
        <f t="shared" si="5"/>
        <v>0</v>
      </c>
      <c r="AD17" s="21">
        <f t="shared" si="6"/>
        <v>0</v>
      </c>
      <c r="AE17" s="21">
        <f t="shared" si="67"/>
        <v>0</v>
      </c>
      <c r="AF17" s="63">
        <f t="shared" si="68"/>
        <v>0</v>
      </c>
      <c r="AG17" s="52">
        <f t="shared" si="7"/>
        <v>0</v>
      </c>
      <c r="AH17" s="21">
        <f t="shared" si="8"/>
        <v>0</v>
      </c>
      <c r="AI17" s="21">
        <f t="shared" si="69"/>
        <v>0</v>
      </c>
      <c r="AJ17" s="63">
        <f t="shared" si="70"/>
        <v>0</v>
      </c>
      <c r="AK17" s="52">
        <f t="shared" si="9"/>
        <v>0</v>
      </c>
      <c r="AL17" s="21">
        <f t="shared" si="10"/>
        <v>0</v>
      </c>
      <c r="AM17" s="21">
        <f t="shared" si="71"/>
        <v>0</v>
      </c>
      <c r="AN17" s="63">
        <f t="shared" si="72"/>
        <v>0</v>
      </c>
      <c r="AO17" s="52">
        <f t="shared" si="73"/>
        <v>0</v>
      </c>
      <c r="AP17" s="21">
        <f t="shared" si="11"/>
        <v>0</v>
      </c>
      <c r="AQ17" s="21">
        <f t="shared" si="74"/>
        <v>0</v>
      </c>
      <c r="AR17" s="181">
        <f t="shared" si="75"/>
        <v>0</v>
      </c>
      <c r="AS17" s="52">
        <f t="shared" si="12"/>
        <v>0.15133499330954489</v>
      </c>
      <c r="AT17" s="21">
        <f t="shared" si="13"/>
        <v>1.3215714067592701</v>
      </c>
      <c r="AU17" s="21">
        <f t="shared" si="14"/>
        <v>0.2968244606676107</v>
      </c>
      <c r="AV17" s="63">
        <f t="shared" si="15"/>
        <v>0.2794722892356557</v>
      </c>
      <c r="AW17" s="182">
        <f t="shared" si="76"/>
        <v>9.2209184765179461E-2</v>
      </c>
      <c r="AX17" s="52">
        <f t="shared" si="77"/>
        <v>0</v>
      </c>
      <c r="AY17" s="74">
        <f t="shared" si="78"/>
        <v>0</v>
      </c>
      <c r="AZ17" s="78">
        <f t="shared" si="79"/>
        <v>0</v>
      </c>
      <c r="BA17" s="87">
        <f t="shared" si="80"/>
        <v>0</v>
      </c>
      <c r="BB17" s="110">
        <f t="shared" si="81"/>
        <v>389.58111577303015</v>
      </c>
      <c r="BC17" s="69">
        <f t="shared" si="82"/>
        <v>0.29218583682977262</v>
      </c>
      <c r="BD17" s="42">
        <f t="shared" si="83"/>
        <v>375.77078305839683</v>
      </c>
      <c r="BE17" s="79">
        <f t="shared" si="84"/>
        <v>0.28182808729379766</v>
      </c>
      <c r="BF17" s="117">
        <f t="shared" si="16"/>
        <v>3.9611875550678976E-3</v>
      </c>
      <c r="BG17" s="118">
        <f t="shared" si="17"/>
        <v>2.6799369658967509E-2</v>
      </c>
      <c r="BH17" s="117">
        <f t="shared" si="18"/>
        <v>6.1943381790359594E-4</v>
      </c>
      <c r="BI17" s="118">
        <f t="shared" si="19"/>
        <v>2.6865194238630905E-2</v>
      </c>
      <c r="BJ17" s="117">
        <f t="shared" si="20"/>
        <v>6.1943381790359594E-4</v>
      </c>
      <c r="BK17" s="118">
        <f t="shared" si="21"/>
        <v>2.6865194238630905E-2</v>
      </c>
      <c r="BL17" s="91">
        <f t="shared" si="22"/>
        <v>0</v>
      </c>
      <c r="BM17" s="93">
        <f t="shared" si="23"/>
        <v>0</v>
      </c>
      <c r="BN17" s="91">
        <f t="shared" si="24"/>
        <v>0</v>
      </c>
      <c r="BO17" s="93">
        <f t="shared" si="25"/>
        <v>0</v>
      </c>
      <c r="BP17" s="91">
        <f t="shared" si="26"/>
        <v>0</v>
      </c>
      <c r="BQ17" s="93">
        <f t="shared" si="27"/>
        <v>0</v>
      </c>
      <c r="BR17" s="91">
        <f t="shared" si="28"/>
        <v>0</v>
      </c>
      <c r="BS17" s="93">
        <f t="shared" si="29"/>
        <v>0</v>
      </c>
      <c r="BT17" s="188">
        <f t="shared" si="30"/>
        <v>4.7302218821729144E-5</v>
      </c>
      <c r="BU17" s="93">
        <f t="shared" si="31"/>
        <v>3.4650633806579114E-3</v>
      </c>
      <c r="BV17" s="117">
        <f t="shared" si="85"/>
        <v>8.9242178926584037E-2</v>
      </c>
      <c r="BW17" s="206">
        <f t="shared" si="86"/>
        <v>8.9242178926584037E-2</v>
      </c>
      <c r="BX17" s="206">
        <f t="shared" si="87"/>
        <v>8.9242178926584037E-2</v>
      </c>
      <c r="BY17" s="97">
        <f t="shared" si="88"/>
        <v>0.38142801575635665</v>
      </c>
      <c r="BZ17" s="123">
        <f t="shared" si="89"/>
        <v>0.37107026622038169</v>
      </c>
      <c r="CA17" s="91">
        <f t="shared" si="90"/>
        <v>8.4924237268128016E-3</v>
      </c>
      <c r="CB17" s="92">
        <f t="shared" si="32"/>
        <v>2.5000000000000001E-3</v>
      </c>
      <c r="CC17" s="92">
        <f t="shared" si="33"/>
        <v>2.5000000000000001E-3</v>
      </c>
      <c r="CD17" s="92">
        <f t="shared" si="34"/>
        <v>0</v>
      </c>
      <c r="CE17" s="92">
        <f t="shared" si="35"/>
        <v>0</v>
      </c>
      <c r="CF17" s="92">
        <f t="shared" si="36"/>
        <v>0</v>
      </c>
      <c r="CG17" s="92">
        <f t="shared" si="37"/>
        <v>0</v>
      </c>
      <c r="CH17" s="92">
        <f t="shared" si="38"/>
        <v>1.0000000000000002E-4</v>
      </c>
      <c r="CI17" s="127">
        <f t="shared" si="91"/>
        <v>1.3592423726812802E-2</v>
      </c>
      <c r="CJ17" s="91">
        <f t="shared" si="92"/>
        <v>6.0660169477234297E-4</v>
      </c>
      <c r="CK17" s="92">
        <f t="shared" si="39"/>
        <v>3.0000000000000002E-2</v>
      </c>
      <c r="CL17" s="92">
        <f t="shared" si="40"/>
        <v>0.11549999999999999</v>
      </c>
      <c r="CM17" s="127">
        <f t="shared" si="93"/>
        <v>0.14610660169477233</v>
      </c>
      <c r="CN17" s="91">
        <f t="shared" si="41"/>
        <v>0.15</v>
      </c>
      <c r="CO17" s="92">
        <f t="shared" si="42"/>
        <v>0.15</v>
      </c>
      <c r="CP17" s="92">
        <f t="shared" si="43"/>
        <v>0</v>
      </c>
      <c r="CQ17" s="92">
        <f t="shared" si="44"/>
        <v>0</v>
      </c>
      <c r="CR17" s="92">
        <f t="shared" si="45"/>
        <v>0</v>
      </c>
      <c r="CS17" s="92">
        <f t="shared" si="46"/>
        <v>0</v>
      </c>
      <c r="CT17" s="92">
        <f t="shared" si="47"/>
        <v>0.03</v>
      </c>
      <c r="CU17" s="127">
        <f t="shared" si="48"/>
        <v>0.32999999999999996</v>
      </c>
      <c r="CV17" s="231">
        <f t="shared" si="49"/>
        <v>0.73739999571262671</v>
      </c>
      <c r="CW17" s="188">
        <f t="shared" si="50"/>
        <v>1.2270990211342117</v>
      </c>
      <c r="CX17" s="206">
        <f t="shared" si="51"/>
        <v>7.2270990211342117</v>
      </c>
      <c r="CY17" s="231">
        <f t="shared" si="52"/>
        <v>0.83020863315338489</v>
      </c>
      <c r="CZ17">
        <f t="shared" si="53"/>
        <v>27.628964346349747</v>
      </c>
      <c r="DA17">
        <f t="shared" si="54"/>
        <v>644.80021323437086</v>
      </c>
      <c r="DD17" s="22">
        <v>50</v>
      </c>
      <c r="DE17" s="22">
        <f t="shared" si="94"/>
        <v>314.15926535897933</v>
      </c>
      <c r="DF17" s="91">
        <f t="shared" si="95"/>
        <v>27.688704200861324</v>
      </c>
      <c r="DG17" s="93">
        <f t="shared" si="96"/>
        <v>-1.7958081741663725</v>
      </c>
      <c r="DH17" s="91">
        <f t="shared" si="97"/>
        <v>-1.6461016263580122</v>
      </c>
      <c r="DI17" s="92">
        <f t="shared" si="98"/>
        <v>94.240949746607569</v>
      </c>
      <c r="DJ17" s="92">
        <f t="shared" si="99"/>
        <v>-3.8280160717769265</v>
      </c>
      <c r="DK17" s="93">
        <f t="shared" si="100"/>
        <v>94.254511584324021</v>
      </c>
      <c r="DL17" s="91">
        <f t="shared" si="101"/>
        <v>26.042602574503313</v>
      </c>
      <c r="DM17" s="92">
        <f t="shared" si="102"/>
        <v>92.445141572441202</v>
      </c>
      <c r="DN17" s="92">
        <f t="shared" si="103"/>
        <v>23.860688129084398</v>
      </c>
      <c r="DO17" s="93">
        <f t="shared" si="104"/>
        <v>92.458703410157653</v>
      </c>
    </row>
    <row r="18" spans="1:119" x14ac:dyDescent="0.25">
      <c r="A18" t="s">
        <v>314</v>
      </c>
      <c r="B18" s="8">
        <f>IF(AND(Vout5&lt;&gt;0,n1_Flyback&lt;&gt;0,IoutPri_FBB=0),((ABS(Vout5)+Vdiode5)*(n1_Flyback/Np))/(ABS(Vout1)+Vdiode1),0)</f>
        <v>0</v>
      </c>
      <c r="C18" s="12"/>
      <c r="K18" s="58">
        <v>14</v>
      </c>
      <c r="L18" s="131">
        <f t="shared" si="55"/>
        <v>19.920000000000002</v>
      </c>
      <c r="M18" s="130">
        <f t="shared" si="56"/>
        <v>0.33467202141900937</v>
      </c>
      <c r="N18" s="132">
        <f t="shared" si="0"/>
        <v>0.16497667394733917</v>
      </c>
      <c r="O18" s="52">
        <f t="shared" si="57"/>
        <v>0.11665612488576556</v>
      </c>
      <c r="P18" s="21">
        <f t="shared" si="58"/>
        <v>2.0286020648339487</v>
      </c>
      <c r="Q18" s="19">
        <f t="shared" si="59"/>
        <v>4.0572041296678973</v>
      </c>
      <c r="R18" s="6">
        <f t="shared" si="1"/>
        <v>2.7012008772567984</v>
      </c>
      <c r="S18" s="55">
        <f t="shared" si="60"/>
        <v>0.95143145045960709</v>
      </c>
      <c r="T18" s="133">
        <f t="shared" si="61"/>
        <v>0.89062699431523284</v>
      </c>
      <c r="U18" s="54">
        <f t="shared" si="2"/>
        <v>0.23706792697452767</v>
      </c>
      <c r="V18" s="21">
        <f t="shared" si="62"/>
        <v>4.2182002971133556</v>
      </c>
      <c r="W18" s="21">
        <f t="shared" si="63"/>
        <v>1.185776861683703</v>
      </c>
      <c r="X18" s="63">
        <f t="shared" si="64"/>
        <v>1.0752054527877226</v>
      </c>
      <c r="Y18" s="54">
        <f t="shared" si="3"/>
        <v>0.23706792697452767</v>
      </c>
      <c r="Z18" s="21">
        <f t="shared" si="4"/>
        <v>4.2182002971133556</v>
      </c>
      <c r="AA18" s="21">
        <f t="shared" si="65"/>
        <v>1.185776861683703</v>
      </c>
      <c r="AB18" s="63">
        <f t="shared" si="66"/>
        <v>1.0752054527877226</v>
      </c>
      <c r="AC18" s="52">
        <f t="shared" si="5"/>
        <v>0</v>
      </c>
      <c r="AD18" s="21">
        <f t="shared" si="6"/>
        <v>0</v>
      </c>
      <c r="AE18" s="21">
        <f t="shared" si="67"/>
        <v>0</v>
      </c>
      <c r="AF18" s="63">
        <f t="shared" si="68"/>
        <v>0</v>
      </c>
      <c r="AG18" s="52">
        <f t="shared" si="7"/>
        <v>0</v>
      </c>
      <c r="AH18" s="21">
        <f t="shared" si="8"/>
        <v>0</v>
      </c>
      <c r="AI18" s="21">
        <f t="shared" si="69"/>
        <v>0</v>
      </c>
      <c r="AJ18" s="63">
        <f t="shared" si="70"/>
        <v>0</v>
      </c>
      <c r="AK18" s="52">
        <f t="shared" si="9"/>
        <v>0</v>
      </c>
      <c r="AL18" s="21">
        <f t="shared" si="10"/>
        <v>0</v>
      </c>
      <c r="AM18" s="21">
        <f t="shared" si="71"/>
        <v>0</v>
      </c>
      <c r="AN18" s="63">
        <f t="shared" si="72"/>
        <v>0</v>
      </c>
      <c r="AO18" s="52">
        <f t="shared" si="73"/>
        <v>0</v>
      </c>
      <c r="AP18" s="21">
        <f t="shared" si="11"/>
        <v>0</v>
      </c>
      <c r="AQ18" s="21">
        <f t="shared" si="74"/>
        <v>0</v>
      </c>
      <c r="AR18" s="181">
        <f t="shared" si="75"/>
        <v>0</v>
      </c>
      <c r="AS18" s="52">
        <f t="shared" si="12"/>
        <v>0.15133499330954489</v>
      </c>
      <c r="AT18" s="21">
        <f t="shared" si="13"/>
        <v>1.3215714067592701</v>
      </c>
      <c r="AU18" s="21">
        <f t="shared" si="14"/>
        <v>0.2968244606676107</v>
      </c>
      <c r="AV18" s="63">
        <f t="shared" si="15"/>
        <v>0.2794722892356557</v>
      </c>
      <c r="AW18" s="182">
        <f t="shared" si="76"/>
        <v>9.2209184765179461E-2</v>
      </c>
      <c r="AX18" s="52">
        <f t="shared" si="77"/>
        <v>0</v>
      </c>
      <c r="AY18" s="74">
        <f t="shared" si="78"/>
        <v>0</v>
      </c>
      <c r="AZ18" s="78">
        <f t="shared" si="79"/>
        <v>0</v>
      </c>
      <c r="BA18" s="87">
        <f t="shared" si="80"/>
        <v>0</v>
      </c>
      <c r="BB18" s="110">
        <f t="shared" si="81"/>
        <v>389.58111577303015</v>
      </c>
      <c r="BC18" s="69">
        <f t="shared" si="82"/>
        <v>0.29218583682977262</v>
      </c>
      <c r="BD18" s="42">
        <f t="shared" si="83"/>
        <v>375.77078305839683</v>
      </c>
      <c r="BE18" s="79">
        <f t="shared" si="84"/>
        <v>0.28182808729379766</v>
      </c>
      <c r="BF18" s="117">
        <f t="shared" si="16"/>
        <v>3.6570475285896391E-3</v>
      </c>
      <c r="BG18" s="118">
        <f t="shared" si="17"/>
        <v>2.589903003549859E-2</v>
      </c>
      <c r="BH18" s="117">
        <f t="shared" si="18"/>
        <v>6.1943381790359594E-4</v>
      </c>
      <c r="BI18" s="118">
        <f t="shared" si="19"/>
        <v>2.6865194238630905E-2</v>
      </c>
      <c r="BJ18" s="117">
        <f t="shared" si="20"/>
        <v>6.1943381790359594E-4</v>
      </c>
      <c r="BK18" s="118">
        <f t="shared" si="21"/>
        <v>2.6865194238630905E-2</v>
      </c>
      <c r="BL18" s="91">
        <f t="shared" si="22"/>
        <v>0</v>
      </c>
      <c r="BM18" s="93">
        <f t="shared" si="23"/>
        <v>0</v>
      </c>
      <c r="BN18" s="91">
        <f t="shared" si="24"/>
        <v>0</v>
      </c>
      <c r="BO18" s="93">
        <f t="shared" si="25"/>
        <v>0</v>
      </c>
      <c r="BP18" s="91">
        <f t="shared" si="26"/>
        <v>0</v>
      </c>
      <c r="BQ18" s="93">
        <f t="shared" si="27"/>
        <v>0</v>
      </c>
      <c r="BR18" s="91">
        <f t="shared" si="28"/>
        <v>0</v>
      </c>
      <c r="BS18" s="93">
        <f t="shared" si="29"/>
        <v>0</v>
      </c>
      <c r="BT18" s="188">
        <f t="shared" si="30"/>
        <v>4.7302218821729144E-5</v>
      </c>
      <c r="BU18" s="93">
        <f t="shared" si="31"/>
        <v>3.4650633806579114E-3</v>
      </c>
      <c r="BV18" s="117">
        <f t="shared" si="85"/>
        <v>8.8037699276636863E-2</v>
      </c>
      <c r="BW18" s="206">
        <f t="shared" si="86"/>
        <v>8.8037699276636863E-2</v>
      </c>
      <c r="BX18" s="206">
        <f t="shared" si="87"/>
        <v>8.8037699276636863E-2</v>
      </c>
      <c r="BY18" s="97">
        <f t="shared" si="88"/>
        <v>0.38022353610640947</v>
      </c>
      <c r="BZ18" s="123">
        <f t="shared" si="89"/>
        <v>0.36986578657043451</v>
      </c>
      <c r="CA18" s="91">
        <f t="shared" si="90"/>
        <v>7.8403753344480111E-3</v>
      </c>
      <c r="CB18" s="92">
        <f t="shared" si="32"/>
        <v>2.5000000000000001E-3</v>
      </c>
      <c r="CC18" s="92">
        <f t="shared" si="33"/>
        <v>2.5000000000000001E-3</v>
      </c>
      <c r="CD18" s="92">
        <f t="shared" si="34"/>
        <v>0</v>
      </c>
      <c r="CE18" s="92">
        <f t="shared" si="35"/>
        <v>0</v>
      </c>
      <c r="CF18" s="92">
        <f t="shared" si="36"/>
        <v>0</v>
      </c>
      <c r="CG18" s="92">
        <f t="shared" si="37"/>
        <v>0</v>
      </c>
      <c r="CH18" s="92">
        <f t="shared" si="38"/>
        <v>1.0000000000000002E-4</v>
      </c>
      <c r="CI18" s="127">
        <f t="shared" si="91"/>
        <v>1.2940375334448011E-2</v>
      </c>
      <c r="CJ18" s="91">
        <f t="shared" si="92"/>
        <v>5.6002680960342936E-4</v>
      </c>
      <c r="CK18" s="92">
        <f t="shared" si="39"/>
        <v>3.0000000000000002E-2</v>
      </c>
      <c r="CL18" s="92">
        <f t="shared" si="40"/>
        <v>0.11549999999999999</v>
      </c>
      <c r="CM18" s="127">
        <f t="shared" si="93"/>
        <v>0.14606002680960342</v>
      </c>
      <c r="CN18" s="91">
        <f t="shared" si="41"/>
        <v>0.15</v>
      </c>
      <c r="CO18" s="92">
        <f t="shared" si="42"/>
        <v>0.15</v>
      </c>
      <c r="CP18" s="92">
        <f t="shared" si="43"/>
        <v>0</v>
      </c>
      <c r="CQ18" s="92">
        <f t="shared" si="44"/>
        <v>0</v>
      </c>
      <c r="CR18" s="92">
        <f t="shared" si="45"/>
        <v>0</v>
      </c>
      <c r="CS18" s="92">
        <f t="shared" si="46"/>
        <v>0</v>
      </c>
      <c r="CT18" s="92">
        <f t="shared" si="47"/>
        <v>0.03</v>
      </c>
      <c r="CU18" s="127">
        <f t="shared" si="48"/>
        <v>0.32999999999999996</v>
      </c>
      <c r="CV18" s="231">
        <f t="shared" si="49"/>
        <v>0.73671822688598021</v>
      </c>
      <c r="CW18" s="188">
        <f t="shared" si="50"/>
        <v>1.2257186290300317</v>
      </c>
      <c r="CX18" s="206">
        <f t="shared" si="51"/>
        <v>7.2257186290300321</v>
      </c>
      <c r="CY18" s="231">
        <f t="shared" si="52"/>
        <v>0.83036723515560273</v>
      </c>
      <c r="CZ18">
        <f t="shared" si="53"/>
        <v>28.408964346349748</v>
      </c>
      <c r="DA18">
        <f t="shared" si="54"/>
        <v>645.58021323437083</v>
      </c>
      <c r="DD18" s="22">
        <v>60</v>
      </c>
      <c r="DE18" s="22">
        <f t="shared" si="94"/>
        <v>376.99111843077515</v>
      </c>
      <c r="DF18" s="91">
        <f t="shared" si="95"/>
        <v>27.686820498054544</v>
      </c>
      <c r="DG18" s="93">
        <f t="shared" si="96"/>
        <v>-2.1546575911250079</v>
      </c>
      <c r="DH18" s="91">
        <f t="shared" si="97"/>
        <v>-3.2189653778846234</v>
      </c>
      <c r="DI18" s="92">
        <f t="shared" si="98"/>
        <v>95.084867823165226</v>
      </c>
      <c r="DJ18" s="92">
        <f t="shared" si="99"/>
        <v>-5.4008544880779938</v>
      </c>
      <c r="DK18" s="93">
        <f t="shared" si="100"/>
        <v>95.101127279296946</v>
      </c>
      <c r="DL18" s="91">
        <f t="shared" si="101"/>
        <v>24.467855120169922</v>
      </c>
      <c r="DM18" s="92">
        <f t="shared" si="102"/>
        <v>92.930210232040224</v>
      </c>
      <c r="DN18" s="92">
        <f t="shared" si="103"/>
        <v>22.285966009976551</v>
      </c>
      <c r="DO18" s="93">
        <f t="shared" si="104"/>
        <v>92.946469688171945</v>
      </c>
    </row>
    <row r="19" spans="1:119" x14ac:dyDescent="0.25">
      <c r="A19" t="s">
        <v>315</v>
      </c>
      <c r="B19" s="8">
        <f>IF(n5_Flyback_Calc&lt;&gt;0,n5_Flyback/Np,0)</f>
        <v>0</v>
      </c>
      <c r="C19" s="12"/>
      <c r="K19" s="58">
        <v>15</v>
      </c>
      <c r="L19" s="131">
        <f t="shared" si="55"/>
        <v>20.700000000000003</v>
      </c>
      <c r="M19" s="130">
        <f t="shared" si="56"/>
        <v>0.322061191626409</v>
      </c>
      <c r="N19" s="132">
        <f t="shared" si="0"/>
        <v>0.15876016159570028</v>
      </c>
      <c r="O19" s="52">
        <f t="shared" si="57"/>
        <v>0.11226038684659177</v>
      </c>
      <c r="P19" s="21">
        <f t="shared" si="58"/>
        <v>2.0286020648339491</v>
      </c>
      <c r="Q19" s="19">
        <f t="shared" si="59"/>
        <v>4.0572041296678965</v>
      </c>
      <c r="R19" s="6">
        <f t="shared" si="1"/>
        <v>2.683103235132462</v>
      </c>
      <c r="S19" s="55">
        <f t="shared" si="60"/>
        <v>0.9333338083352708</v>
      </c>
      <c r="T19" s="133">
        <f t="shared" si="61"/>
        <v>0.87600718411996903</v>
      </c>
      <c r="U19" s="54">
        <f t="shared" si="2"/>
        <v>0.23706792697452767</v>
      </c>
      <c r="V19" s="21">
        <f t="shared" si="62"/>
        <v>4.2182002971133556</v>
      </c>
      <c r="W19" s="21">
        <f t="shared" si="63"/>
        <v>1.185776861683703</v>
      </c>
      <c r="X19" s="63">
        <f t="shared" si="64"/>
        <v>1.0752054527877226</v>
      </c>
      <c r="Y19" s="54">
        <f t="shared" si="3"/>
        <v>0.23706792697452767</v>
      </c>
      <c r="Z19" s="21">
        <f t="shared" si="4"/>
        <v>4.2182002971133556</v>
      </c>
      <c r="AA19" s="21">
        <f t="shared" si="65"/>
        <v>1.185776861683703</v>
      </c>
      <c r="AB19" s="63">
        <f t="shared" si="66"/>
        <v>1.0752054527877226</v>
      </c>
      <c r="AC19" s="52">
        <f t="shared" si="5"/>
        <v>0</v>
      </c>
      <c r="AD19" s="21">
        <f t="shared" si="6"/>
        <v>0</v>
      </c>
      <c r="AE19" s="21">
        <f t="shared" si="67"/>
        <v>0</v>
      </c>
      <c r="AF19" s="63">
        <f t="shared" si="68"/>
        <v>0</v>
      </c>
      <c r="AG19" s="52">
        <f t="shared" si="7"/>
        <v>0</v>
      </c>
      <c r="AH19" s="21">
        <f t="shared" si="8"/>
        <v>0</v>
      </c>
      <c r="AI19" s="21">
        <f t="shared" si="69"/>
        <v>0</v>
      </c>
      <c r="AJ19" s="63">
        <f t="shared" si="70"/>
        <v>0</v>
      </c>
      <c r="AK19" s="52">
        <f t="shared" si="9"/>
        <v>0</v>
      </c>
      <c r="AL19" s="21">
        <f t="shared" si="10"/>
        <v>0</v>
      </c>
      <c r="AM19" s="21">
        <f t="shared" si="71"/>
        <v>0</v>
      </c>
      <c r="AN19" s="63">
        <f t="shared" si="72"/>
        <v>0</v>
      </c>
      <c r="AO19" s="52">
        <f t="shared" si="73"/>
        <v>0</v>
      </c>
      <c r="AP19" s="21">
        <f t="shared" si="11"/>
        <v>0</v>
      </c>
      <c r="AQ19" s="21">
        <f t="shared" si="74"/>
        <v>0</v>
      </c>
      <c r="AR19" s="181">
        <f t="shared" si="75"/>
        <v>0</v>
      </c>
      <c r="AS19" s="52">
        <f t="shared" si="12"/>
        <v>0.15133499330954489</v>
      </c>
      <c r="AT19" s="21">
        <f t="shared" si="13"/>
        <v>1.3215714067592701</v>
      </c>
      <c r="AU19" s="21">
        <f t="shared" si="14"/>
        <v>0.2968244606676107</v>
      </c>
      <c r="AV19" s="63">
        <f t="shared" si="15"/>
        <v>0.2794722892356557</v>
      </c>
      <c r="AW19" s="182">
        <f t="shared" si="76"/>
        <v>9.2209184765179447E-2</v>
      </c>
      <c r="AX19" s="52">
        <f t="shared" si="77"/>
        <v>0</v>
      </c>
      <c r="AY19" s="74">
        <f t="shared" si="78"/>
        <v>0</v>
      </c>
      <c r="AZ19" s="78">
        <f t="shared" si="79"/>
        <v>0</v>
      </c>
      <c r="BA19" s="87">
        <f t="shared" si="80"/>
        <v>0</v>
      </c>
      <c r="BB19" s="110">
        <f t="shared" si="81"/>
        <v>389.58111577303015</v>
      </c>
      <c r="BC19" s="69">
        <f t="shared" si="82"/>
        <v>0.29218583682977262</v>
      </c>
      <c r="BD19" s="42">
        <f t="shared" si="83"/>
        <v>375.77078305839683</v>
      </c>
      <c r="BE19" s="79">
        <f t="shared" si="84"/>
        <v>0.28182808729379766</v>
      </c>
      <c r="BF19" s="117">
        <f t="shared" si="16"/>
        <v>3.386636477977436E-3</v>
      </c>
      <c r="BG19" s="118">
        <f t="shared" si="17"/>
        <v>2.505573381557992E-2</v>
      </c>
      <c r="BH19" s="117">
        <f t="shared" si="18"/>
        <v>6.1943381790359594E-4</v>
      </c>
      <c r="BI19" s="118">
        <f t="shared" si="19"/>
        <v>2.6865194238630905E-2</v>
      </c>
      <c r="BJ19" s="117">
        <f t="shared" si="20"/>
        <v>6.1943381790359594E-4</v>
      </c>
      <c r="BK19" s="118">
        <f t="shared" si="21"/>
        <v>2.6865194238630905E-2</v>
      </c>
      <c r="BL19" s="91">
        <f t="shared" si="22"/>
        <v>0</v>
      </c>
      <c r="BM19" s="93">
        <f t="shared" si="23"/>
        <v>0</v>
      </c>
      <c r="BN19" s="91">
        <f t="shared" si="24"/>
        <v>0</v>
      </c>
      <c r="BO19" s="93">
        <f t="shared" si="25"/>
        <v>0</v>
      </c>
      <c r="BP19" s="91">
        <f t="shared" si="26"/>
        <v>0</v>
      </c>
      <c r="BQ19" s="93">
        <f t="shared" si="27"/>
        <v>0</v>
      </c>
      <c r="BR19" s="91">
        <f t="shared" si="28"/>
        <v>0</v>
      </c>
      <c r="BS19" s="93">
        <f t="shared" si="29"/>
        <v>0</v>
      </c>
      <c r="BT19" s="188">
        <f t="shared" si="30"/>
        <v>4.7302218821729144E-5</v>
      </c>
      <c r="BU19" s="93">
        <f t="shared" si="31"/>
        <v>3.4650633806579114E-3</v>
      </c>
      <c r="BV19" s="117">
        <f t="shared" si="85"/>
        <v>8.6923992006105996E-2</v>
      </c>
      <c r="BW19" s="206">
        <f t="shared" si="86"/>
        <v>8.6923992006105996E-2</v>
      </c>
      <c r="BX19" s="206">
        <f t="shared" si="87"/>
        <v>8.6923992006105996E-2</v>
      </c>
      <c r="BY19" s="97">
        <f t="shared" si="88"/>
        <v>0.37910982883587863</v>
      </c>
      <c r="BZ19" s="123">
        <f t="shared" si="89"/>
        <v>0.36875207929990367</v>
      </c>
      <c r="CA19" s="91">
        <f t="shared" si="90"/>
        <v>7.2606387806275789E-3</v>
      </c>
      <c r="CB19" s="92">
        <f t="shared" si="32"/>
        <v>2.5000000000000001E-3</v>
      </c>
      <c r="CC19" s="92">
        <f t="shared" si="33"/>
        <v>2.5000000000000001E-3</v>
      </c>
      <c r="CD19" s="92">
        <f t="shared" si="34"/>
        <v>0</v>
      </c>
      <c r="CE19" s="92">
        <f t="shared" si="35"/>
        <v>0</v>
      </c>
      <c r="CF19" s="92">
        <f t="shared" si="36"/>
        <v>0</v>
      </c>
      <c r="CG19" s="92">
        <f t="shared" si="37"/>
        <v>0</v>
      </c>
      <c r="CH19" s="92">
        <f t="shared" si="38"/>
        <v>1.0000000000000002E-4</v>
      </c>
      <c r="CI19" s="127">
        <f t="shared" si="91"/>
        <v>1.2360638780627578E-2</v>
      </c>
      <c r="CJ19" s="91">
        <f t="shared" si="92"/>
        <v>5.1861705575911268E-4</v>
      </c>
      <c r="CK19" s="92">
        <f t="shared" si="39"/>
        <v>3.0000000000000002E-2</v>
      </c>
      <c r="CL19" s="92">
        <f t="shared" si="40"/>
        <v>0.11549999999999999</v>
      </c>
      <c r="CM19" s="127">
        <f t="shared" si="93"/>
        <v>0.14601861705575911</v>
      </c>
      <c r="CN19" s="91">
        <f t="shared" si="41"/>
        <v>0.15</v>
      </c>
      <c r="CO19" s="92">
        <f t="shared" si="42"/>
        <v>0.15</v>
      </c>
      <c r="CP19" s="92">
        <f t="shared" si="43"/>
        <v>0</v>
      </c>
      <c r="CQ19" s="92">
        <f t="shared" si="44"/>
        <v>0</v>
      </c>
      <c r="CR19" s="92">
        <f t="shared" si="45"/>
        <v>0</v>
      </c>
      <c r="CS19" s="92">
        <f t="shared" si="46"/>
        <v>0</v>
      </c>
      <c r="CT19" s="92">
        <f t="shared" si="47"/>
        <v>0.03</v>
      </c>
      <c r="CU19" s="127">
        <f t="shared" si="48"/>
        <v>0.32999999999999996</v>
      </c>
      <c r="CV19" s="231">
        <f t="shared" si="49"/>
        <v>0.73602434310413956</v>
      </c>
      <c r="CW19" s="188">
        <f t="shared" si="50"/>
        <v>1.2244035989405262</v>
      </c>
      <c r="CX19" s="206">
        <f t="shared" si="51"/>
        <v>7.2244035989405262</v>
      </c>
      <c r="CY19" s="231">
        <f t="shared" si="52"/>
        <v>0.83051838367390107</v>
      </c>
      <c r="CZ19">
        <f t="shared" si="53"/>
        <v>29.188964346349749</v>
      </c>
      <c r="DA19">
        <f t="shared" si="54"/>
        <v>646.3602132343708</v>
      </c>
      <c r="DD19" s="22">
        <v>70</v>
      </c>
      <c r="DE19" s="22">
        <f t="shared" si="94"/>
        <v>439.82297150257102</v>
      </c>
      <c r="DF19" s="91">
        <f t="shared" si="95"/>
        <v>27.684595356691752</v>
      </c>
      <c r="DG19" s="93">
        <f t="shared" si="96"/>
        <v>-2.5133369517444364</v>
      </c>
      <c r="DH19" s="91">
        <f t="shared" si="97"/>
        <v>-4.5452177231595234</v>
      </c>
      <c r="DI19" s="92">
        <f t="shared" si="98"/>
        <v>95.926474848247423</v>
      </c>
      <c r="DJ19" s="92">
        <f t="shared" si="99"/>
        <v>-6.7270770492113909</v>
      </c>
      <c r="DK19" s="93">
        <f t="shared" si="100"/>
        <v>95.945423987411345</v>
      </c>
      <c r="DL19" s="91">
        <f t="shared" si="101"/>
        <v>23.139377633532227</v>
      </c>
      <c r="DM19" s="92">
        <f t="shared" si="102"/>
        <v>93.413137896502988</v>
      </c>
      <c r="DN19" s="92">
        <f t="shared" si="103"/>
        <v>20.95751830748036</v>
      </c>
      <c r="DO19" s="93">
        <f t="shared" si="104"/>
        <v>93.43208703566691</v>
      </c>
    </row>
    <row r="20" spans="1:119" x14ac:dyDescent="0.25">
      <c r="A20" t="s">
        <v>316</v>
      </c>
      <c r="B20" s="8">
        <f>IF(AND(Vout6&lt;&gt;0,n1_Flyback&lt;&gt;0,IoutPri_FBB=0),((ABS(Vout6)+Vdiode6)*(n1_Flyback/Np))/(ABS(Vout1)+Vdiode1),0)</f>
        <v>0</v>
      </c>
      <c r="C20" s="12"/>
      <c r="K20" s="58">
        <v>16</v>
      </c>
      <c r="L20" s="131">
        <f t="shared" si="55"/>
        <v>21.48</v>
      </c>
      <c r="M20" s="130">
        <f t="shared" si="56"/>
        <v>0.3103662321539416</v>
      </c>
      <c r="N20" s="132">
        <f t="shared" si="0"/>
        <v>0.15299512779473912</v>
      </c>
      <c r="O20" s="52">
        <f t="shared" si="57"/>
        <v>0.10818389235216247</v>
      </c>
      <c r="P20" s="21">
        <f t="shared" si="58"/>
        <v>2.0286020648339487</v>
      </c>
      <c r="Q20" s="19">
        <f t="shared" si="59"/>
        <v>4.0572041296678973</v>
      </c>
      <c r="R20" s="6">
        <f t="shared" si="1"/>
        <v>2.6660005325794378</v>
      </c>
      <c r="S20" s="55">
        <f t="shared" si="60"/>
        <v>0.91623110578224654</v>
      </c>
      <c r="T20" s="133">
        <f t="shared" si="61"/>
        <v>0.86206278259853197</v>
      </c>
      <c r="U20" s="54">
        <f t="shared" si="2"/>
        <v>0.23706792697452767</v>
      </c>
      <c r="V20" s="21">
        <f t="shared" si="62"/>
        <v>4.2182002971133556</v>
      </c>
      <c r="W20" s="21">
        <f t="shared" si="63"/>
        <v>1.185776861683703</v>
      </c>
      <c r="X20" s="63">
        <f t="shared" si="64"/>
        <v>1.0752054527877226</v>
      </c>
      <c r="Y20" s="54">
        <f t="shared" si="3"/>
        <v>0.23706792697452767</v>
      </c>
      <c r="Z20" s="21">
        <f t="shared" si="4"/>
        <v>4.2182002971133556</v>
      </c>
      <c r="AA20" s="21">
        <f t="shared" si="65"/>
        <v>1.185776861683703</v>
      </c>
      <c r="AB20" s="63">
        <f t="shared" si="66"/>
        <v>1.0752054527877226</v>
      </c>
      <c r="AC20" s="52">
        <f t="shared" si="5"/>
        <v>0</v>
      </c>
      <c r="AD20" s="21">
        <f t="shared" si="6"/>
        <v>0</v>
      </c>
      <c r="AE20" s="21">
        <f t="shared" si="67"/>
        <v>0</v>
      </c>
      <c r="AF20" s="63">
        <f t="shared" si="68"/>
        <v>0</v>
      </c>
      <c r="AG20" s="52">
        <f t="shared" si="7"/>
        <v>0</v>
      </c>
      <c r="AH20" s="21">
        <f t="shared" si="8"/>
        <v>0</v>
      </c>
      <c r="AI20" s="21">
        <f t="shared" si="69"/>
        <v>0</v>
      </c>
      <c r="AJ20" s="63">
        <f t="shared" si="70"/>
        <v>0</v>
      </c>
      <c r="AK20" s="52">
        <f t="shared" si="9"/>
        <v>0</v>
      </c>
      <c r="AL20" s="21">
        <f t="shared" si="10"/>
        <v>0</v>
      </c>
      <c r="AM20" s="21">
        <f t="shared" si="71"/>
        <v>0</v>
      </c>
      <c r="AN20" s="63">
        <f t="shared" si="72"/>
        <v>0</v>
      </c>
      <c r="AO20" s="52">
        <f t="shared" si="73"/>
        <v>0</v>
      </c>
      <c r="AP20" s="21">
        <f t="shared" si="11"/>
        <v>0</v>
      </c>
      <c r="AQ20" s="21">
        <f t="shared" si="74"/>
        <v>0</v>
      </c>
      <c r="AR20" s="181">
        <f t="shared" si="75"/>
        <v>0</v>
      </c>
      <c r="AS20" s="52">
        <f t="shared" si="12"/>
        <v>0.15133499330954489</v>
      </c>
      <c r="AT20" s="21">
        <f t="shared" si="13"/>
        <v>1.3215714067592701</v>
      </c>
      <c r="AU20" s="21">
        <f t="shared" si="14"/>
        <v>0.2968244606676107</v>
      </c>
      <c r="AV20" s="63">
        <f t="shared" si="15"/>
        <v>0.2794722892356557</v>
      </c>
      <c r="AW20" s="182">
        <f t="shared" si="76"/>
        <v>9.2209184765179461E-2</v>
      </c>
      <c r="AX20" s="52">
        <f t="shared" si="77"/>
        <v>0</v>
      </c>
      <c r="AY20" s="74">
        <f t="shared" si="78"/>
        <v>0</v>
      </c>
      <c r="AZ20" s="78">
        <f t="shared" si="79"/>
        <v>0</v>
      </c>
      <c r="BA20" s="87">
        <f t="shared" si="80"/>
        <v>0</v>
      </c>
      <c r="BB20" s="110">
        <f t="shared" si="81"/>
        <v>389.58111577303015</v>
      </c>
      <c r="BC20" s="69">
        <f t="shared" si="82"/>
        <v>0.29218583682977262</v>
      </c>
      <c r="BD20" s="42">
        <f t="shared" si="83"/>
        <v>375.77078305839683</v>
      </c>
      <c r="BE20" s="79">
        <f t="shared" si="84"/>
        <v>0.28182808729379766</v>
      </c>
      <c r="BF20" s="117">
        <f t="shared" si="16"/>
        <v>3.1451453355955199E-3</v>
      </c>
      <c r="BG20" s="118">
        <f t="shared" si="17"/>
        <v>2.4264401455681834E-2</v>
      </c>
      <c r="BH20" s="117">
        <f t="shared" si="18"/>
        <v>6.1943381790359594E-4</v>
      </c>
      <c r="BI20" s="118">
        <f t="shared" si="19"/>
        <v>2.6865194238630905E-2</v>
      </c>
      <c r="BJ20" s="117">
        <f t="shared" si="20"/>
        <v>6.1943381790359594E-4</v>
      </c>
      <c r="BK20" s="118">
        <f t="shared" si="21"/>
        <v>2.6865194238630905E-2</v>
      </c>
      <c r="BL20" s="91">
        <f t="shared" si="22"/>
        <v>0</v>
      </c>
      <c r="BM20" s="93">
        <f t="shared" si="23"/>
        <v>0</v>
      </c>
      <c r="BN20" s="91">
        <f t="shared" si="24"/>
        <v>0</v>
      </c>
      <c r="BO20" s="93">
        <f t="shared" si="25"/>
        <v>0</v>
      </c>
      <c r="BP20" s="91">
        <f t="shared" si="26"/>
        <v>0</v>
      </c>
      <c r="BQ20" s="93">
        <f t="shared" si="27"/>
        <v>0</v>
      </c>
      <c r="BR20" s="91">
        <f t="shared" si="28"/>
        <v>0</v>
      </c>
      <c r="BS20" s="93">
        <f t="shared" si="29"/>
        <v>0</v>
      </c>
      <c r="BT20" s="188">
        <f t="shared" si="30"/>
        <v>4.7302218821729144E-5</v>
      </c>
      <c r="BU20" s="93">
        <f t="shared" si="31"/>
        <v>3.4650633806579114E-3</v>
      </c>
      <c r="BV20" s="117">
        <f t="shared" si="85"/>
        <v>8.5891168503825985E-2</v>
      </c>
      <c r="BW20" s="206">
        <f t="shared" si="86"/>
        <v>8.5891168503825985E-2</v>
      </c>
      <c r="BX20" s="206">
        <f t="shared" si="87"/>
        <v>8.5891168503825985E-2</v>
      </c>
      <c r="BY20" s="97">
        <f t="shared" si="88"/>
        <v>0.37807700533359861</v>
      </c>
      <c r="BZ20" s="123">
        <f t="shared" si="89"/>
        <v>0.36771925579762366</v>
      </c>
      <c r="CA20" s="91">
        <f t="shared" si="90"/>
        <v>6.742903864300407E-3</v>
      </c>
      <c r="CB20" s="92">
        <f t="shared" si="32"/>
        <v>2.5000000000000001E-3</v>
      </c>
      <c r="CC20" s="92">
        <f t="shared" si="33"/>
        <v>2.5000000000000001E-3</v>
      </c>
      <c r="CD20" s="92">
        <f t="shared" si="34"/>
        <v>0</v>
      </c>
      <c r="CE20" s="92">
        <f t="shared" si="35"/>
        <v>0</v>
      </c>
      <c r="CF20" s="92">
        <f t="shared" si="36"/>
        <v>0</v>
      </c>
      <c r="CG20" s="92">
        <f t="shared" si="37"/>
        <v>0</v>
      </c>
      <c r="CH20" s="92">
        <f t="shared" si="38"/>
        <v>1.0000000000000002E-4</v>
      </c>
      <c r="CI20" s="127">
        <f t="shared" si="91"/>
        <v>1.1842903864300407E-2</v>
      </c>
      <c r="CJ20" s="91">
        <f t="shared" si="92"/>
        <v>4.8163599030717188E-4</v>
      </c>
      <c r="CK20" s="92">
        <f t="shared" si="39"/>
        <v>0.03</v>
      </c>
      <c r="CL20" s="92">
        <f t="shared" si="40"/>
        <v>0.11549999999999999</v>
      </c>
      <c r="CM20" s="127">
        <f t="shared" si="93"/>
        <v>0.14598163599030717</v>
      </c>
      <c r="CN20" s="91">
        <f t="shared" si="41"/>
        <v>0.15</v>
      </c>
      <c r="CO20" s="92">
        <f t="shared" si="42"/>
        <v>0.15</v>
      </c>
      <c r="CP20" s="92">
        <f t="shared" si="43"/>
        <v>0</v>
      </c>
      <c r="CQ20" s="92">
        <f t="shared" si="44"/>
        <v>0</v>
      </c>
      <c r="CR20" s="92">
        <f t="shared" si="45"/>
        <v>0</v>
      </c>
      <c r="CS20" s="92">
        <f t="shared" si="46"/>
        <v>0</v>
      </c>
      <c r="CT20" s="92">
        <f t="shared" si="47"/>
        <v>0.03</v>
      </c>
      <c r="CU20" s="127">
        <f t="shared" si="48"/>
        <v>0.32999999999999996</v>
      </c>
      <c r="CV20" s="231">
        <f t="shared" si="49"/>
        <v>0.73531801855015844</v>
      </c>
      <c r="CW20" s="188">
        <f t="shared" si="50"/>
        <v>1.2231425584047659</v>
      </c>
      <c r="CX20" s="206">
        <f t="shared" si="51"/>
        <v>7.2231425584047662</v>
      </c>
      <c r="CY20" s="231">
        <f t="shared" si="52"/>
        <v>0.83066337836825177</v>
      </c>
      <c r="CZ20">
        <f t="shared" si="53"/>
        <v>29.968964346349747</v>
      </c>
      <c r="DA20">
        <f t="shared" si="54"/>
        <v>647.14021323437089</v>
      </c>
      <c r="DD20" s="22">
        <v>80</v>
      </c>
      <c r="DE20" s="22">
        <f t="shared" si="94"/>
        <v>502.6548245743669</v>
      </c>
      <c r="DF20" s="91">
        <f t="shared" si="95"/>
        <v>27.682029301753104</v>
      </c>
      <c r="DG20" s="93">
        <f t="shared" si="96"/>
        <v>-2.8718181164887571</v>
      </c>
      <c r="DH20" s="91">
        <f t="shared" si="97"/>
        <v>-5.6904678177789396</v>
      </c>
      <c r="DI20" s="92">
        <f t="shared" si="98"/>
        <v>96.765401347751123</v>
      </c>
      <c r="DJ20" s="92">
        <f t="shared" si="99"/>
        <v>-7.8722929876668299</v>
      </c>
      <c r="DK20" s="93">
        <f t="shared" si="100"/>
        <v>96.787031001858168</v>
      </c>
      <c r="DL20" s="91">
        <f t="shared" si="101"/>
        <v>21.991561483974166</v>
      </c>
      <c r="DM20" s="92">
        <f t="shared" si="102"/>
        <v>93.893583231262369</v>
      </c>
      <c r="DN20" s="92">
        <f t="shared" si="103"/>
        <v>19.809736314086273</v>
      </c>
      <c r="DO20" s="93">
        <f t="shared" si="104"/>
        <v>93.915212885369414</v>
      </c>
    </row>
    <row r="21" spans="1:119" x14ac:dyDescent="0.25">
      <c r="A21" t="s">
        <v>317</v>
      </c>
      <c r="B21" s="8">
        <f>IF(n6_Flyback_Calc&lt;&gt;0,n6_Flyback/Np,0)</f>
        <v>0</v>
      </c>
      <c r="C21" s="12"/>
      <c r="K21" s="58">
        <v>17</v>
      </c>
      <c r="L21" s="131">
        <f t="shared" si="55"/>
        <v>22.259999999999998</v>
      </c>
      <c r="M21" s="130">
        <f t="shared" si="56"/>
        <v>0.29949086552860138</v>
      </c>
      <c r="N21" s="132">
        <f t="shared" si="0"/>
        <v>0.14763411253508521</v>
      </c>
      <c r="O21" s="52">
        <f t="shared" si="57"/>
        <v>0.10439308210801662</v>
      </c>
      <c r="P21" s="21">
        <f t="shared" si="58"/>
        <v>2.0286020648339487</v>
      </c>
      <c r="Q21" s="19">
        <f t="shared" si="59"/>
        <v>4.0572041296678973</v>
      </c>
      <c r="R21" s="6">
        <f t="shared" si="1"/>
        <v>2.6498048247753134</v>
      </c>
      <c r="S21" s="55">
        <f t="shared" si="60"/>
        <v>0.90003539797812204</v>
      </c>
      <c r="T21" s="133">
        <f t="shared" si="61"/>
        <v>0.84874550901820134</v>
      </c>
      <c r="U21" s="54">
        <f t="shared" si="2"/>
        <v>0.23706792697452767</v>
      </c>
      <c r="V21" s="21">
        <f t="shared" si="62"/>
        <v>4.2182002971133556</v>
      </c>
      <c r="W21" s="21">
        <f t="shared" si="63"/>
        <v>1.185776861683703</v>
      </c>
      <c r="X21" s="63">
        <f t="shared" si="64"/>
        <v>1.0752054527877226</v>
      </c>
      <c r="Y21" s="54">
        <f t="shared" si="3"/>
        <v>0.23706792697452767</v>
      </c>
      <c r="Z21" s="21">
        <f t="shared" si="4"/>
        <v>4.2182002971133556</v>
      </c>
      <c r="AA21" s="21">
        <f t="shared" si="65"/>
        <v>1.185776861683703</v>
      </c>
      <c r="AB21" s="63">
        <f t="shared" si="66"/>
        <v>1.0752054527877226</v>
      </c>
      <c r="AC21" s="52">
        <f t="shared" si="5"/>
        <v>0</v>
      </c>
      <c r="AD21" s="21">
        <f t="shared" si="6"/>
        <v>0</v>
      </c>
      <c r="AE21" s="21">
        <f t="shared" si="67"/>
        <v>0</v>
      </c>
      <c r="AF21" s="63">
        <f t="shared" si="68"/>
        <v>0</v>
      </c>
      <c r="AG21" s="52">
        <f t="shared" si="7"/>
        <v>0</v>
      </c>
      <c r="AH21" s="21">
        <f t="shared" si="8"/>
        <v>0</v>
      </c>
      <c r="AI21" s="21">
        <f t="shared" si="69"/>
        <v>0</v>
      </c>
      <c r="AJ21" s="63">
        <f t="shared" si="70"/>
        <v>0</v>
      </c>
      <c r="AK21" s="52">
        <f t="shared" si="9"/>
        <v>0</v>
      </c>
      <c r="AL21" s="21">
        <f t="shared" si="10"/>
        <v>0</v>
      </c>
      <c r="AM21" s="21">
        <f t="shared" si="71"/>
        <v>0</v>
      </c>
      <c r="AN21" s="63">
        <f t="shared" si="72"/>
        <v>0</v>
      </c>
      <c r="AO21" s="52">
        <f t="shared" si="73"/>
        <v>0</v>
      </c>
      <c r="AP21" s="21">
        <f t="shared" si="11"/>
        <v>0</v>
      </c>
      <c r="AQ21" s="21">
        <f t="shared" si="74"/>
        <v>0</v>
      </c>
      <c r="AR21" s="181">
        <f t="shared" si="75"/>
        <v>0</v>
      </c>
      <c r="AS21" s="52">
        <f t="shared" si="12"/>
        <v>0.15133499330954489</v>
      </c>
      <c r="AT21" s="21">
        <f t="shared" si="13"/>
        <v>1.3215714067592701</v>
      </c>
      <c r="AU21" s="21">
        <f t="shared" si="14"/>
        <v>0.2968244606676107</v>
      </c>
      <c r="AV21" s="63">
        <f t="shared" si="15"/>
        <v>0.2794722892356557</v>
      </c>
      <c r="AW21" s="182">
        <f t="shared" si="76"/>
        <v>9.2209184765179461E-2</v>
      </c>
      <c r="AX21" s="52">
        <f t="shared" si="77"/>
        <v>0</v>
      </c>
      <c r="AY21" s="74">
        <f t="shared" si="78"/>
        <v>0</v>
      </c>
      <c r="AZ21" s="78">
        <f t="shared" si="79"/>
        <v>0</v>
      </c>
      <c r="BA21" s="87">
        <f t="shared" si="80"/>
        <v>0</v>
      </c>
      <c r="BB21" s="110">
        <f t="shared" si="81"/>
        <v>389.58111577303015</v>
      </c>
      <c r="BC21" s="69">
        <f t="shared" si="82"/>
        <v>0.29218583682977262</v>
      </c>
      <c r="BD21" s="42">
        <f t="shared" si="83"/>
        <v>375.77078305839683</v>
      </c>
      <c r="BE21" s="79">
        <f t="shared" si="84"/>
        <v>0.28182808729379766</v>
      </c>
      <c r="BF21" s="117">
        <f t="shared" si="16"/>
        <v>2.9285925472153237E-3</v>
      </c>
      <c r="BG21" s="118">
        <f t="shared" si="17"/>
        <v>2.3520511903666878E-2</v>
      </c>
      <c r="BH21" s="117">
        <f t="shared" si="18"/>
        <v>6.1943381790359594E-4</v>
      </c>
      <c r="BI21" s="118">
        <f t="shared" si="19"/>
        <v>2.6865194238630905E-2</v>
      </c>
      <c r="BJ21" s="117">
        <f t="shared" si="20"/>
        <v>6.1943381790359594E-4</v>
      </c>
      <c r="BK21" s="118">
        <f t="shared" si="21"/>
        <v>2.6865194238630905E-2</v>
      </c>
      <c r="BL21" s="91">
        <f t="shared" si="22"/>
        <v>0</v>
      </c>
      <c r="BM21" s="93">
        <f t="shared" si="23"/>
        <v>0</v>
      </c>
      <c r="BN21" s="91">
        <f t="shared" si="24"/>
        <v>0</v>
      </c>
      <c r="BO21" s="93">
        <f t="shared" si="25"/>
        <v>0</v>
      </c>
      <c r="BP21" s="91">
        <f t="shared" si="26"/>
        <v>0</v>
      </c>
      <c r="BQ21" s="93">
        <f t="shared" si="27"/>
        <v>0</v>
      </c>
      <c r="BR21" s="91">
        <f t="shared" si="28"/>
        <v>0</v>
      </c>
      <c r="BS21" s="93">
        <f t="shared" si="29"/>
        <v>0</v>
      </c>
      <c r="BT21" s="188">
        <f t="shared" si="30"/>
        <v>4.7302218821729144E-5</v>
      </c>
      <c r="BU21" s="93">
        <f t="shared" si="31"/>
        <v>3.4650633806579114E-3</v>
      </c>
      <c r="BV21" s="117">
        <f t="shared" si="85"/>
        <v>8.4930726163430836E-2</v>
      </c>
      <c r="BW21" s="206">
        <f t="shared" si="86"/>
        <v>8.4930726163430836E-2</v>
      </c>
      <c r="BX21" s="206">
        <f t="shared" si="87"/>
        <v>8.4930726163430836E-2</v>
      </c>
      <c r="BY21" s="97">
        <f t="shared" si="88"/>
        <v>0.37711656299320345</v>
      </c>
      <c r="BZ21" s="123">
        <f t="shared" si="89"/>
        <v>0.36675881345722849</v>
      </c>
      <c r="CA21" s="91">
        <f t="shared" si="90"/>
        <v>6.2786344974549565E-3</v>
      </c>
      <c r="CB21" s="92">
        <f t="shared" si="32"/>
        <v>2.5000000000000001E-3</v>
      </c>
      <c r="CC21" s="92">
        <f t="shared" si="33"/>
        <v>2.5000000000000001E-3</v>
      </c>
      <c r="CD21" s="92">
        <f t="shared" si="34"/>
        <v>0</v>
      </c>
      <c r="CE21" s="92">
        <f t="shared" si="35"/>
        <v>0</v>
      </c>
      <c r="CF21" s="92">
        <f t="shared" si="36"/>
        <v>0</v>
      </c>
      <c r="CG21" s="92">
        <f t="shared" si="37"/>
        <v>0</v>
      </c>
      <c r="CH21" s="92">
        <f t="shared" si="38"/>
        <v>1.0000000000000002E-4</v>
      </c>
      <c r="CI21" s="127">
        <f t="shared" si="91"/>
        <v>1.1378634497454956E-2</v>
      </c>
      <c r="CJ21" s="91">
        <f t="shared" si="92"/>
        <v>4.4847389267535401E-4</v>
      </c>
      <c r="CK21" s="92">
        <f t="shared" si="39"/>
        <v>0.03</v>
      </c>
      <c r="CL21" s="92">
        <f t="shared" si="40"/>
        <v>0.11549999999999999</v>
      </c>
      <c r="CM21" s="127">
        <f t="shared" si="93"/>
        <v>0.14594847389267535</v>
      </c>
      <c r="CN21" s="91">
        <f t="shared" si="41"/>
        <v>0.15</v>
      </c>
      <c r="CO21" s="92">
        <f t="shared" si="42"/>
        <v>0.15</v>
      </c>
      <c r="CP21" s="92">
        <f t="shared" si="43"/>
        <v>0</v>
      </c>
      <c r="CQ21" s="92">
        <f t="shared" si="44"/>
        <v>0</v>
      </c>
      <c r="CR21" s="92">
        <f t="shared" si="45"/>
        <v>0</v>
      </c>
      <c r="CS21" s="92">
        <f t="shared" si="46"/>
        <v>0</v>
      </c>
      <c r="CT21" s="92">
        <f t="shared" si="47"/>
        <v>0.03</v>
      </c>
      <c r="CU21" s="127">
        <f t="shared" si="48"/>
        <v>0.32999999999999996</v>
      </c>
      <c r="CV21" s="231">
        <f t="shared" si="49"/>
        <v>0.73459891561813928</v>
      </c>
      <c r="CW21" s="188">
        <f t="shared" si="50"/>
        <v>1.2219260240082694</v>
      </c>
      <c r="CX21" s="206">
        <f t="shared" si="51"/>
        <v>7.221926024008269</v>
      </c>
      <c r="CY21" s="231">
        <f t="shared" si="52"/>
        <v>0.83080330372449829</v>
      </c>
      <c r="CZ21">
        <f t="shared" si="53"/>
        <v>30.748964346349744</v>
      </c>
      <c r="DA21">
        <f t="shared" si="54"/>
        <v>647.92021323437086</v>
      </c>
      <c r="DD21" s="22">
        <v>90</v>
      </c>
      <c r="DE21" s="22">
        <f t="shared" si="94"/>
        <v>565.48667764616278</v>
      </c>
      <c r="DF21" s="91">
        <f t="shared" si="95"/>
        <v>27.679122937872009</v>
      </c>
      <c r="DG21" s="93">
        <f t="shared" si="96"/>
        <v>-3.2300730391578325</v>
      </c>
      <c r="DH21" s="91">
        <f t="shared" si="97"/>
        <v>-6.6970432984325594</v>
      </c>
      <c r="DI21" s="92">
        <f t="shared" si="98"/>
        <v>97.601284900195168</v>
      </c>
      <c r="DJ21" s="92">
        <f t="shared" si="99"/>
        <v>-8.8788300274675986</v>
      </c>
      <c r="DK21" s="93">
        <f t="shared" si="100"/>
        <v>97.625584708368351</v>
      </c>
      <c r="DL21" s="91">
        <f t="shared" si="101"/>
        <v>20.982079639439448</v>
      </c>
      <c r="DM21" s="92">
        <f t="shared" si="102"/>
        <v>94.371211861037338</v>
      </c>
      <c r="DN21" s="92">
        <f t="shared" si="103"/>
        <v>18.800292910404409</v>
      </c>
      <c r="DO21" s="93">
        <f t="shared" si="104"/>
        <v>94.395511669210521</v>
      </c>
    </row>
    <row r="22" spans="1:119" x14ac:dyDescent="0.25">
      <c r="A22" t="s">
        <v>408</v>
      </c>
      <c r="B22" s="9">
        <f>IF(AND(VOUTAUX&lt;&gt;0,n1_Flyback&lt;&gt;0,IoutPri_FBB=0),((ABS(VOUTAUX)+VdiodeAux)*(n1_Flyback/Np))/(ABS(Vout1)+Vdiode1),0)</f>
        <v>1.1446603773584907</v>
      </c>
      <c r="K22" s="58">
        <v>18</v>
      </c>
      <c r="L22" s="131">
        <f t="shared" si="55"/>
        <v>23.04</v>
      </c>
      <c r="M22" s="130">
        <f t="shared" si="56"/>
        <v>0.28935185185185186</v>
      </c>
      <c r="N22" s="132">
        <f t="shared" si="0"/>
        <v>0.14263608268363701</v>
      </c>
      <c r="O22" s="52">
        <f t="shared" si="57"/>
        <v>0.10085894130748481</v>
      </c>
      <c r="P22" s="21">
        <f t="shared" si="58"/>
        <v>2.0286020648339487</v>
      </c>
      <c r="Q22" s="19">
        <f t="shared" si="59"/>
        <v>4.0572041296678973</v>
      </c>
      <c r="R22" s="6">
        <f t="shared" si="1"/>
        <v>2.6344386788382717</v>
      </c>
      <c r="S22" s="55">
        <f t="shared" si="60"/>
        <v>0.88466925204108038</v>
      </c>
      <c r="T22" s="133">
        <f t="shared" si="61"/>
        <v>0.83601147799347142</v>
      </c>
      <c r="U22" s="54">
        <f t="shared" si="2"/>
        <v>0.23706792697452767</v>
      </c>
      <c r="V22" s="21">
        <f t="shared" si="62"/>
        <v>4.2182002971133556</v>
      </c>
      <c r="W22" s="21">
        <f t="shared" si="63"/>
        <v>1.185776861683703</v>
      </c>
      <c r="X22" s="63">
        <f t="shared" si="64"/>
        <v>1.0752054527877226</v>
      </c>
      <c r="Y22" s="54">
        <f t="shared" si="3"/>
        <v>0.23706792697452767</v>
      </c>
      <c r="Z22" s="21">
        <f t="shared" si="4"/>
        <v>4.2182002971133556</v>
      </c>
      <c r="AA22" s="21">
        <f t="shared" si="65"/>
        <v>1.185776861683703</v>
      </c>
      <c r="AB22" s="63">
        <f t="shared" si="66"/>
        <v>1.0752054527877226</v>
      </c>
      <c r="AC22" s="52">
        <f t="shared" si="5"/>
        <v>0</v>
      </c>
      <c r="AD22" s="21">
        <f t="shared" si="6"/>
        <v>0</v>
      </c>
      <c r="AE22" s="21">
        <f t="shared" si="67"/>
        <v>0</v>
      </c>
      <c r="AF22" s="63">
        <f t="shared" si="68"/>
        <v>0</v>
      </c>
      <c r="AG22" s="52">
        <f t="shared" si="7"/>
        <v>0</v>
      </c>
      <c r="AH22" s="21">
        <f t="shared" si="8"/>
        <v>0</v>
      </c>
      <c r="AI22" s="21">
        <f t="shared" si="69"/>
        <v>0</v>
      </c>
      <c r="AJ22" s="63">
        <f t="shared" si="70"/>
        <v>0</v>
      </c>
      <c r="AK22" s="52">
        <f t="shared" si="9"/>
        <v>0</v>
      </c>
      <c r="AL22" s="21">
        <f t="shared" si="10"/>
        <v>0</v>
      </c>
      <c r="AM22" s="21">
        <f t="shared" si="71"/>
        <v>0</v>
      </c>
      <c r="AN22" s="63">
        <f t="shared" si="72"/>
        <v>0</v>
      </c>
      <c r="AO22" s="52">
        <f t="shared" si="73"/>
        <v>0</v>
      </c>
      <c r="AP22" s="21">
        <f t="shared" si="11"/>
        <v>0</v>
      </c>
      <c r="AQ22" s="21">
        <f t="shared" si="74"/>
        <v>0</v>
      </c>
      <c r="AR22" s="181">
        <f t="shared" si="75"/>
        <v>0</v>
      </c>
      <c r="AS22" s="52">
        <f t="shared" si="12"/>
        <v>0.15133499330954489</v>
      </c>
      <c r="AT22" s="21">
        <f t="shared" si="13"/>
        <v>1.3215714067592701</v>
      </c>
      <c r="AU22" s="21">
        <f t="shared" si="14"/>
        <v>0.2968244606676107</v>
      </c>
      <c r="AV22" s="63">
        <f t="shared" si="15"/>
        <v>0.2794722892356557</v>
      </c>
      <c r="AW22" s="182">
        <f t="shared" si="76"/>
        <v>9.2209184765179461E-2</v>
      </c>
      <c r="AX22" s="52">
        <f t="shared" si="77"/>
        <v>0</v>
      </c>
      <c r="AY22" s="74">
        <f t="shared" si="78"/>
        <v>0</v>
      </c>
      <c r="AZ22" s="78">
        <f t="shared" si="79"/>
        <v>0</v>
      </c>
      <c r="BA22" s="87">
        <f t="shared" si="80"/>
        <v>0</v>
      </c>
      <c r="BB22" s="110">
        <f t="shared" si="81"/>
        <v>389.58111577303015</v>
      </c>
      <c r="BC22" s="69">
        <f t="shared" si="82"/>
        <v>0.29218583682977262</v>
      </c>
      <c r="BD22" s="42">
        <f t="shared" si="83"/>
        <v>375.77078305839683</v>
      </c>
      <c r="BE22" s="79">
        <f t="shared" si="84"/>
        <v>0.28182808729379766</v>
      </c>
      <c r="BF22" s="117">
        <f t="shared" si="16"/>
        <v>2.7336589002228758E-3</v>
      </c>
      <c r="BG22" s="118">
        <f t="shared" si="17"/>
        <v>2.2820033160395076E-2</v>
      </c>
      <c r="BH22" s="117">
        <f t="shared" si="18"/>
        <v>6.1943381790359594E-4</v>
      </c>
      <c r="BI22" s="118">
        <f t="shared" si="19"/>
        <v>2.6865194238630905E-2</v>
      </c>
      <c r="BJ22" s="117">
        <f t="shared" si="20"/>
        <v>6.1943381790359594E-4</v>
      </c>
      <c r="BK22" s="118">
        <f t="shared" si="21"/>
        <v>2.6865194238630905E-2</v>
      </c>
      <c r="BL22" s="91">
        <f t="shared" si="22"/>
        <v>0</v>
      </c>
      <c r="BM22" s="93">
        <f t="shared" si="23"/>
        <v>0</v>
      </c>
      <c r="BN22" s="91">
        <f t="shared" si="24"/>
        <v>0</v>
      </c>
      <c r="BO22" s="93">
        <f t="shared" si="25"/>
        <v>0</v>
      </c>
      <c r="BP22" s="91">
        <f t="shared" si="26"/>
        <v>0</v>
      </c>
      <c r="BQ22" s="93">
        <f t="shared" si="27"/>
        <v>0</v>
      </c>
      <c r="BR22" s="91">
        <f t="shared" si="28"/>
        <v>0</v>
      </c>
      <c r="BS22" s="93">
        <f t="shared" si="29"/>
        <v>0</v>
      </c>
      <c r="BT22" s="188">
        <f t="shared" si="30"/>
        <v>4.7302218821729144E-5</v>
      </c>
      <c r="BU22" s="93">
        <f t="shared" si="31"/>
        <v>3.4650633806579114E-3</v>
      </c>
      <c r="BV22" s="117">
        <f t="shared" si="85"/>
        <v>8.4035313773166587E-2</v>
      </c>
      <c r="BW22" s="206">
        <f t="shared" si="86"/>
        <v>8.4035313773166587E-2</v>
      </c>
      <c r="BX22" s="206">
        <f t="shared" si="87"/>
        <v>8.4035313773166587E-2</v>
      </c>
      <c r="BY22" s="97">
        <f t="shared" si="88"/>
        <v>0.3762211506029392</v>
      </c>
      <c r="BZ22" s="123">
        <f t="shared" si="89"/>
        <v>0.36586340106696424</v>
      </c>
      <c r="CA22" s="91">
        <f t="shared" si="90"/>
        <v>5.8607145919067228E-3</v>
      </c>
      <c r="CB22" s="92">
        <f t="shared" si="32"/>
        <v>2.5000000000000001E-3</v>
      </c>
      <c r="CC22" s="92">
        <f t="shared" si="33"/>
        <v>2.5000000000000001E-3</v>
      </c>
      <c r="CD22" s="92">
        <f t="shared" si="34"/>
        <v>0</v>
      </c>
      <c r="CE22" s="92">
        <f t="shared" si="35"/>
        <v>0</v>
      </c>
      <c r="CF22" s="92">
        <f t="shared" si="36"/>
        <v>0</v>
      </c>
      <c r="CG22" s="92">
        <f t="shared" si="37"/>
        <v>0</v>
      </c>
      <c r="CH22" s="92">
        <f t="shared" si="38"/>
        <v>1.0000000000000002E-4</v>
      </c>
      <c r="CI22" s="127">
        <f t="shared" si="91"/>
        <v>1.0960714591906723E-2</v>
      </c>
      <c r="CJ22" s="91">
        <f t="shared" si="92"/>
        <v>4.1862247085048014E-4</v>
      </c>
      <c r="CK22" s="92">
        <f t="shared" si="39"/>
        <v>3.0000000000000002E-2</v>
      </c>
      <c r="CL22" s="92">
        <f t="shared" si="40"/>
        <v>0.11549999999999999</v>
      </c>
      <c r="CM22" s="127">
        <f t="shared" si="93"/>
        <v>0.14591862247085047</v>
      </c>
      <c r="CN22" s="91">
        <f t="shared" si="41"/>
        <v>0.15</v>
      </c>
      <c r="CO22" s="92">
        <f t="shared" si="42"/>
        <v>0.15</v>
      </c>
      <c r="CP22" s="92">
        <f t="shared" si="43"/>
        <v>0</v>
      </c>
      <c r="CQ22" s="92">
        <f t="shared" si="44"/>
        <v>0</v>
      </c>
      <c r="CR22" s="92">
        <f t="shared" si="45"/>
        <v>0</v>
      </c>
      <c r="CS22" s="92">
        <f t="shared" si="46"/>
        <v>0</v>
      </c>
      <c r="CT22" s="92">
        <f t="shared" si="47"/>
        <v>0.03</v>
      </c>
      <c r="CU22" s="127">
        <f t="shared" si="48"/>
        <v>0.32999999999999996</v>
      </c>
      <c r="CV22" s="231">
        <f t="shared" si="49"/>
        <v>0.73386668437517422</v>
      </c>
      <c r="CW22" s="188">
        <f t="shared" si="50"/>
        <v>1.2207460214379315</v>
      </c>
      <c r="CX22" s="206">
        <f t="shared" si="51"/>
        <v>7.2207460214379315</v>
      </c>
      <c r="CY22" s="231">
        <f t="shared" si="52"/>
        <v>0.83093907224909791</v>
      </c>
      <c r="CZ22">
        <f t="shared" si="53"/>
        <v>31.528964346349746</v>
      </c>
      <c r="DA22">
        <f t="shared" si="54"/>
        <v>648.70021323437084</v>
      </c>
      <c r="DD22" s="22">
        <v>100</v>
      </c>
      <c r="DE22" s="22">
        <f t="shared" si="94"/>
        <v>628.31853071795865</v>
      </c>
      <c r="DF22" s="91">
        <f t="shared" si="95"/>
        <v>27.675876948861657</v>
      </c>
      <c r="DG22" s="93">
        <f t="shared" si="96"/>
        <v>-3.5880737799060776</v>
      </c>
      <c r="DH22" s="91">
        <f t="shared" si="97"/>
        <v>-7.593853602815253</v>
      </c>
      <c r="DI22" s="92">
        <f t="shared" si="98"/>
        <v>98.433771009394277</v>
      </c>
      <c r="DJ22" s="92">
        <f t="shared" si="99"/>
        <v>-9.7755977035209689</v>
      </c>
      <c r="DK22" s="93">
        <f t="shared" si="100"/>
        <v>98.460729462518259</v>
      </c>
      <c r="DL22" s="91">
        <f t="shared" si="101"/>
        <v>20.082023346046405</v>
      </c>
      <c r="DM22" s="92">
        <f t="shared" si="102"/>
        <v>94.845697229488195</v>
      </c>
      <c r="DN22" s="92">
        <f t="shared" si="103"/>
        <v>17.900279245340688</v>
      </c>
      <c r="DO22" s="93">
        <f t="shared" si="104"/>
        <v>94.872655682612177</v>
      </c>
    </row>
    <row r="23" spans="1:119" x14ac:dyDescent="0.25">
      <c r="A23" t="s">
        <v>409</v>
      </c>
      <c r="B23">
        <f>IF(nAUX_Flyback_Calc&lt;&gt;0,nAux_Flyback/Np,0)</f>
        <v>1.1890000000000001</v>
      </c>
      <c r="K23" s="58">
        <v>19</v>
      </c>
      <c r="L23" s="131">
        <f t="shared" si="55"/>
        <v>23.82</v>
      </c>
      <c r="M23" s="130">
        <f t="shared" si="56"/>
        <v>0.27987685418415897</v>
      </c>
      <c r="N23" s="132">
        <f t="shared" si="0"/>
        <v>0.13796537972422318</v>
      </c>
      <c r="O23" s="52">
        <f t="shared" si="57"/>
        <v>9.7556255571975226E-2</v>
      </c>
      <c r="P23" s="21">
        <f t="shared" si="58"/>
        <v>2.0286020648339491</v>
      </c>
      <c r="Q23" s="19">
        <f t="shared" si="59"/>
        <v>4.0572041296678965</v>
      </c>
      <c r="R23" s="6">
        <f t="shared" si="1"/>
        <v>2.6198336116304826</v>
      </c>
      <c r="S23" s="55">
        <f t="shared" si="60"/>
        <v>0.87006418483329118</v>
      </c>
      <c r="T23" s="133">
        <f t="shared" si="61"/>
        <v>0.82382075248296494</v>
      </c>
      <c r="U23" s="54">
        <f t="shared" si="2"/>
        <v>0.23706792697452767</v>
      </c>
      <c r="V23" s="21">
        <f t="shared" si="62"/>
        <v>4.2182002971133556</v>
      </c>
      <c r="W23" s="21">
        <f t="shared" si="63"/>
        <v>1.185776861683703</v>
      </c>
      <c r="X23" s="63">
        <f t="shared" si="64"/>
        <v>1.0752054527877226</v>
      </c>
      <c r="Y23" s="54">
        <f t="shared" si="3"/>
        <v>0.23706792697452767</v>
      </c>
      <c r="Z23" s="21">
        <f t="shared" si="4"/>
        <v>4.2182002971133556</v>
      </c>
      <c r="AA23" s="21">
        <f t="shared" si="65"/>
        <v>1.185776861683703</v>
      </c>
      <c r="AB23" s="63">
        <f t="shared" si="66"/>
        <v>1.0752054527877226</v>
      </c>
      <c r="AC23" s="52">
        <f t="shared" si="5"/>
        <v>0</v>
      </c>
      <c r="AD23" s="21">
        <f t="shared" si="6"/>
        <v>0</v>
      </c>
      <c r="AE23" s="21">
        <f t="shared" si="67"/>
        <v>0</v>
      </c>
      <c r="AF23" s="63">
        <f t="shared" si="68"/>
        <v>0</v>
      </c>
      <c r="AG23" s="52">
        <f t="shared" si="7"/>
        <v>0</v>
      </c>
      <c r="AH23" s="21">
        <f t="shared" si="8"/>
        <v>0</v>
      </c>
      <c r="AI23" s="21">
        <f t="shared" si="69"/>
        <v>0</v>
      </c>
      <c r="AJ23" s="63">
        <f t="shared" si="70"/>
        <v>0</v>
      </c>
      <c r="AK23" s="52">
        <f t="shared" si="9"/>
        <v>0</v>
      </c>
      <c r="AL23" s="21">
        <f t="shared" si="10"/>
        <v>0</v>
      </c>
      <c r="AM23" s="21">
        <f t="shared" si="71"/>
        <v>0</v>
      </c>
      <c r="AN23" s="63">
        <f t="shared" si="72"/>
        <v>0</v>
      </c>
      <c r="AO23" s="52">
        <f t="shared" si="73"/>
        <v>0</v>
      </c>
      <c r="AP23" s="21">
        <f t="shared" si="11"/>
        <v>0</v>
      </c>
      <c r="AQ23" s="21">
        <f t="shared" si="74"/>
        <v>0</v>
      </c>
      <c r="AR23" s="181">
        <f t="shared" si="75"/>
        <v>0</v>
      </c>
      <c r="AS23" s="52">
        <f t="shared" si="12"/>
        <v>0.15133499330954489</v>
      </c>
      <c r="AT23" s="21">
        <f t="shared" si="13"/>
        <v>1.3215714067592701</v>
      </c>
      <c r="AU23" s="21">
        <f t="shared" si="14"/>
        <v>0.2968244606676107</v>
      </c>
      <c r="AV23" s="63">
        <f t="shared" si="15"/>
        <v>0.2794722892356557</v>
      </c>
      <c r="AW23" s="182">
        <f t="shared" si="76"/>
        <v>9.2209184765179447E-2</v>
      </c>
      <c r="AX23" s="52">
        <f t="shared" si="77"/>
        <v>0</v>
      </c>
      <c r="AY23" s="74">
        <f t="shared" si="78"/>
        <v>0</v>
      </c>
      <c r="AZ23" s="78">
        <f t="shared" si="79"/>
        <v>0</v>
      </c>
      <c r="BA23" s="87">
        <f t="shared" si="80"/>
        <v>0</v>
      </c>
      <c r="BB23" s="110">
        <f t="shared" si="81"/>
        <v>389.58111577303015</v>
      </c>
      <c r="BC23" s="69">
        <f t="shared" si="82"/>
        <v>0.29218583682977262</v>
      </c>
      <c r="BD23" s="42">
        <f t="shared" si="83"/>
        <v>375.77078305839683</v>
      </c>
      <c r="BE23" s="79">
        <f t="shared" si="84"/>
        <v>0.28182808729379766</v>
      </c>
      <c r="BF23" s="117">
        <f t="shared" si="16"/>
        <v>2.5575595733191908E-3</v>
      </c>
      <c r="BG23" s="118">
        <f t="shared" si="17"/>
        <v>2.2159361714532928E-2</v>
      </c>
      <c r="BH23" s="117">
        <f t="shared" si="18"/>
        <v>6.1943381790359594E-4</v>
      </c>
      <c r="BI23" s="118">
        <f t="shared" si="19"/>
        <v>2.6865194238630905E-2</v>
      </c>
      <c r="BJ23" s="117">
        <f t="shared" si="20"/>
        <v>6.1943381790359594E-4</v>
      </c>
      <c r="BK23" s="118">
        <f t="shared" si="21"/>
        <v>2.6865194238630905E-2</v>
      </c>
      <c r="BL23" s="91">
        <f t="shared" si="22"/>
        <v>0</v>
      </c>
      <c r="BM23" s="93">
        <f t="shared" si="23"/>
        <v>0</v>
      </c>
      <c r="BN23" s="91">
        <f t="shared" si="24"/>
        <v>0</v>
      </c>
      <c r="BO23" s="93">
        <f t="shared" si="25"/>
        <v>0</v>
      </c>
      <c r="BP23" s="91">
        <f t="shared" si="26"/>
        <v>0</v>
      </c>
      <c r="BQ23" s="93">
        <f t="shared" si="27"/>
        <v>0</v>
      </c>
      <c r="BR23" s="91">
        <f t="shared" si="28"/>
        <v>0</v>
      </c>
      <c r="BS23" s="93">
        <f t="shared" si="29"/>
        <v>0</v>
      </c>
      <c r="BT23" s="188">
        <f t="shared" si="30"/>
        <v>4.7302218821729144E-5</v>
      </c>
      <c r="BU23" s="93">
        <f t="shared" si="31"/>
        <v>3.4650633806579114E-3</v>
      </c>
      <c r="BV23" s="117">
        <f t="shared" si="85"/>
        <v>8.3198543000400749E-2</v>
      </c>
      <c r="BW23" s="206">
        <f t="shared" si="86"/>
        <v>8.3198543000400749E-2</v>
      </c>
      <c r="BX23" s="206">
        <f t="shared" si="87"/>
        <v>8.3198543000400749E-2</v>
      </c>
      <c r="BY23" s="97">
        <f t="shared" si="88"/>
        <v>0.37538437983017336</v>
      </c>
      <c r="BZ23" s="123">
        <f t="shared" si="89"/>
        <v>0.36502663029419841</v>
      </c>
      <c r="CA23" s="91">
        <f t="shared" si="90"/>
        <v>5.4831737455614694E-3</v>
      </c>
      <c r="CB23" s="92">
        <f t="shared" si="32"/>
        <v>2.5000000000000001E-3</v>
      </c>
      <c r="CC23" s="92">
        <f t="shared" si="33"/>
        <v>2.5000000000000001E-3</v>
      </c>
      <c r="CD23" s="92">
        <f t="shared" si="34"/>
        <v>0</v>
      </c>
      <c r="CE23" s="92">
        <f t="shared" si="35"/>
        <v>0</v>
      </c>
      <c r="CF23" s="92">
        <f t="shared" si="36"/>
        <v>0</v>
      </c>
      <c r="CG23" s="92">
        <f t="shared" si="37"/>
        <v>0</v>
      </c>
      <c r="CH23" s="92">
        <f t="shared" si="38"/>
        <v>1.0000000000000002E-4</v>
      </c>
      <c r="CI23" s="127">
        <f t="shared" si="91"/>
        <v>1.058317374556147E-2</v>
      </c>
      <c r="CJ23" s="91">
        <f t="shared" si="92"/>
        <v>3.9165526754010496E-4</v>
      </c>
      <c r="CK23" s="92">
        <f t="shared" si="39"/>
        <v>3.0000000000000002E-2</v>
      </c>
      <c r="CL23" s="92">
        <f t="shared" si="40"/>
        <v>0.11549999999999999</v>
      </c>
      <c r="CM23" s="127">
        <f t="shared" si="93"/>
        <v>0.14589165526754011</v>
      </c>
      <c r="CN23" s="91">
        <f t="shared" si="41"/>
        <v>0.15</v>
      </c>
      <c r="CO23" s="92">
        <f t="shared" si="42"/>
        <v>0.15</v>
      </c>
      <c r="CP23" s="92">
        <f t="shared" si="43"/>
        <v>0</v>
      </c>
      <c r="CQ23" s="92">
        <f t="shared" si="44"/>
        <v>0</v>
      </c>
      <c r="CR23" s="92">
        <f t="shared" si="45"/>
        <v>0</v>
      </c>
      <c r="CS23" s="92">
        <f t="shared" si="46"/>
        <v>0</v>
      </c>
      <c r="CT23" s="92">
        <f t="shared" si="47"/>
        <v>0.03</v>
      </c>
      <c r="CU23" s="127">
        <f t="shared" si="48"/>
        <v>0.32999999999999996</v>
      </c>
      <c r="CV23" s="231">
        <f t="shared" si="49"/>
        <v>0.73312096199353904</v>
      </c>
      <c r="CW23" s="188">
        <f t="shared" si="50"/>
        <v>1.2195957910066406</v>
      </c>
      <c r="CX23" s="206">
        <f t="shared" si="51"/>
        <v>7.2195957910066406</v>
      </c>
      <c r="CY23" s="231">
        <f t="shared" si="52"/>
        <v>0.83107145797194415</v>
      </c>
      <c r="CZ23">
        <f t="shared" si="53"/>
        <v>32.308964346349747</v>
      </c>
      <c r="DA23">
        <f t="shared" si="54"/>
        <v>649.48021323437081</v>
      </c>
      <c r="DD23" s="22">
        <v>200</v>
      </c>
      <c r="DE23" s="22">
        <f t="shared" si="94"/>
        <v>1256.6370614359173</v>
      </c>
      <c r="DF23" s="91">
        <f t="shared" si="95"/>
        <v>27.62494348347488</v>
      </c>
      <c r="DG23" s="93">
        <f t="shared" si="96"/>
        <v>-7.1480558070290474</v>
      </c>
      <c r="DH23" s="91">
        <f t="shared" si="97"/>
        <v>-13.334704364891817</v>
      </c>
      <c r="DI23" s="92">
        <f t="shared" si="98"/>
        <v>106.50092081958812</v>
      </c>
      <c r="DJ23" s="92">
        <f t="shared" si="99"/>
        <v>-15.515818975219577</v>
      </c>
      <c r="DK23" s="93">
        <f t="shared" si="100"/>
        <v>106.55361911592054</v>
      </c>
      <c r="DL23" s="91">
        <f t="shared" si="101"/>
        <v>14.290239118583063</v>
      </c>
      <c r="DM23" s="92">
        <f t="shared" si="102"/>
        <v>99.352865012559064</v>
      </c>
      <c r="DN23" s="92">
        <f t="shared" si="103"/>
        <v>12.109124508255302</v>
      </c>
      <c r="DO23" s="93">
        <f t="shared" si="104"/>
        <v>99.405563308891487</v>
      </c>
    </row>
    <row r="24" spans="1:119" x14ac:dyDescent="0.25">
      <c r="A24" s="328" t="s">
        <v>25</v>
      </c>
      <c r="B24" s="328"/>
      <c r="K24" s="58">
        <v>20</v>
      </c>
      <c r="L24" s="131">
        <f t="shared" si="55"/>
        <v>24.6</v>
      </c>
      <c r="M24" s="130">
        <f t="shared" si="56"/>
        <v>0.27100271002710025</v>
      </c>
      <c r="N24" s="132">
        <f t="shared" si="0"/>
        <v>0.13359086768418682</v>
      </c>
      <c r="O24" s="52">
        <f t="shared" si="57"/>
        <v>9.4463008444083313E-2</v>
      </c>
      <c r="P24" s="21">
        <f t="shared" si="58"/>
        <v>2.0286020648339491</v>
      </c>
      <c r="Q24" s="19">
        <f t="shared" si="59"/>
        <v>4.0572041296678965</v>
      </c>
      <c r="R24" s="6">
        <f t="shared" si="1"/>
        <v>2.6059288022537093</v>
      </c>
      <c r="S24" s="55">
        <f t="shared" si="60"/>
        <v>0.85615937545651788</v>
      </c>
      <c r="T24" s="133">
        <f t="shared" si="61"/>
        <v>0.81213693878561033</v>
      </c>
      <c r="U24" s="54">
        <f t="shared" si="2"/>
        <v>0.23706792697452767</v>
      </c>
      <c r="V24" s="21">
        <f t="shared" si="62"/>
        <v>4.2182002971133556</v>
      </c>
      <c r="W24" s="21">
        <f t="shared" si="63"/>
        <v>1.185776861683703</v>
      </c>
      <c r="X24" s="63">
        <f t="shared" si="64"/>
        <v>1.0752054527877226</v>
      </c>
      <c r="Y24" s="54">
        <f t="shared" si="3"/>
        <v>0.23706792697452767</v>
      </c>
      <c r="Z24" s="21">
        <f t="shared" si="4"/>
        <v>4.2182002971133556</v>
      </c>
      <c r="AA24" s="21">
        <f t="shared" si="65"/>
        <v>1.185776861683703</v>
      </c>
      <c r="AB24" s="63">
        <f t="shared" si="66"/>
        <v>1.0752054527877226</v>
      </c>
      <c r="AC24" s="52">
        <f t="shared" si="5"/>
        <v>0</v>
      </c>
      <c r="AD24" s="21">
        <f t="shared" si="6"/>
        <v>0</v>
      </c>
      <c r="AE24" s="21">
        <f t="shared" si="67"/>
        <v>0</v>
      </c>
      <c r="AF24" s="63">
        <f t="shared" si="68"/>
        <v>0</v>
      </c>
      <c r="AG24" s="52">
        <f t="shared" si="7"/>
        <v>0</v>
      </c>
      <c r="AH24" s="21">
        <f t="shared" si="8"/>
        <v>0</v>
      </c>
      <c r="AI24" s="21">
        <f t="shared" si="69"/>
        <v>0</v>
      </c>
      <c r="AJ24" s="63">
        <f t="shared" si="70"/>
        <v>0</v>
      </c>
      <c r="AK24" s="52">
        <f t="shared" si="9"/>
        <v>0</v>
      </c>
      <c r="AL24" s="21">
        <f t="shared" si="10"/>
        <v>0</v>
      </c>
      <c r="AM24" s="21">
        <f t="shared" si="71"/>
        <v>0</v>
      </c>
      <c r="AN24" s="63">
        <f t="shared" si="72"/>
        <v>0</v>
      </c>
      <c r="AO24" s="52">
        <f t="shared" si="73"/>
        <v>0</v>
      </c>
      <c r="AP24" s="21">
        <f t="shared" si="11"/>
        <v>0</v>
      </c>
      <c r="AQ24" s="21">
        <f t="shared" si="74"/>
        <v>0</v>
      </c>
      <c r="AR24" s="181">
        <f t="shared" si="75"/>
        <v>0</v>
      </c>
      <c r="AS24" s="52">
        <f t="shared" si="12"/>
        <v>0.15133499330954489</v>
      </c>
      <c r="AT24" s="21">
        <f t="shared" si="13"/>
        <v>1.3215714067592701</v>
      </c>
      <c r="AU24" s="21">
        <f t="shared" si="14"/>
        <v>0.2968244606676107</v>
      </c>
      <c r="AV24" s="63">
        <f t="shared" si="15"/>
        <v>0.2794722892356557</v>
      </c>
      <c r="AW24" s="182">
        <f t="shared" si="76"/>
        <v>9.2209184765179447E-2</v>
      </c>
      <c r="AX24" s="52">
        <f t="shared" si="77"/>
        <v>0</v>
      </c>
      <c r="AY24" s="74">
        <f t="shared" si="78"/>
        <v>0</v>
      </c>
      <c r="AZ24" s="78">
        <f t="shared" si="79"/>
        <v>0</v>
      </c>
      <c r="BA24" s="87">
        <f t="shared" si="80"/>
        <v>0</v>
      </c>
      <c r="BB24" s="110">
        <f t="shared" si="81"/>
        <v>389.58111577303015</v>
      </c>
      <c r="BC24" s="69">
        <f t="shared" si="82"/>
        <v>0.29218583682977262</v>
      </c>
      <c r="BD24" s="42">
        <f t="shared" si="83"/>
        <v>375.77078305839683</v>
      </c>
      <c r="BE24" s="79">
        <f t="shared" si="84"/>
        <v>0.28182808729379766</v>
      </c>
      <c r="BF24" s="117">
        <f t="shared" si="16"/>
        <v>2.397944121304368E-3</v>
      </c>
      <c r="BG24" s="118">
        <f t="shared" si="17"/>
        <v>2.1535269906201214E-2</v>
      </c>
      <c r="BH24" s="117">
        <f t="shared" si="18"/>
        <v>6.1943381790359594E-4</v>
      </c>
      <c r="BI24" s="118">
        <f t="shared" si="19"/>
        <v>2.6865194238630905E-2</v>
      </c>
      <c r="BJ24" s="117">
        <f t="shared" si="20"/>
        <v>6.1943381790359594E-4</v>
      </c>
      <c r="BK24" s="118">
        <f t="shared" si="21"/>
        <v>2.6865194238630905E-2</v>
      </c>
      <c r="BL24" s="91">
        <f t="shared" si="22"/>
        <v>0</v>
      </c>
      <c r="BM24" s="93">
        <f t="shared" si="23"/>
        <v>0</v>
      </c>
      <c r="BN24" s="91">
        <f t="shared" si="24"/>
        <v>0</v>
      </c>
      <c r="BO24" s="93">
        <f t="shared" si="25"/>
        <v>0</v>
      </c>
      <c r="BP24" s="91">
        <f t="shared" si="26"/>
        <v>0</v>
      </c>
      <c r="BQ24" s="93">
        <f t="shared" si="27"/>
        <v>0</v>
      </c>
      <c r="BR24" s="91">
        <f t="shared" si="28"/>
        <v>0</v>
      </c>
      <c r="BS24" s="93">
        <f t="shared" si="29"/>
        <v>0</v>
      </c>
      <c r="BT24" s="188">
        <f t="shared" si="30"/>
        <v>4.7302218821729144E-5</v>
      </c>
      <c r="BU24" s="93">
        <f t="shared" si="31"/>
        <v>3.4650633806579114E-3</v>
      </c>
      <c r="BV24" s="117">
        <f t="shared" si="85"/>
        <v>8.2414835740054218E-2</v>
      </c>
      <c r="BW24" s="206">
        <f t="shared" si="86"/>
        <v>8.2414835740054218E-2</v>
      </c>
      <c r="BX24" s="206">
        <f t="shared" si="87"/>
        <v>8.2414835740054218E-2</v>
      </c>
      <c r="BY24" s="97">
        <f t="shared" si="88"/>
        <v>0.37460067256982682</v>
      </c>
      <c r="BZ24" s="123">
        <f t="shared" si="89"/>
        <v>0.36424292303385186</v>
      </c>
      <c r="CA24" s="91">
        <f t="shared" si="90"/>
        <v>5.1409728189422809E-3</v>
      </c>
      <c r="CB24" s="92">
        <f t="shared" si="32"/>
        <v>2.5000000000000001E-3</v>
      </c>
      <c r="CC24" s="92">
        <f t="shared" si="33"/>
        <v>2.5000000000000001E-3</v>
      </c>
      <c r="CD24" s="92">
        <f t="shared" si="34"/>
        <v>0</v>
      </c>
      <c r="CE24" s="92">
        <f t="shared" si="35"/>
        <v>0</v>
      </c>
      <c r="CF24" s="92">
        <f t="shared" si="36"/>
        <v>0</v>
      </c>
      <c r="CG24" s="92">
        <f t="shared" si="37"/>
        <v>0</v>
      </c>
      <c r="CH24" s="92">
        <f t="shared" si="38"/>
        <v>1.0000000000000002E-4</v>
      </c>
      <c r="CI24" s="127">
        <f t="shared" si="91"/>
        <v>1.0240972818942281E-2</v>
      </c>
      <c r="CJ24" s="91">
        <f t="shared" si="92"/>
        <v>3.6721234421016293E-4</v>
      </c>
      <c r="CK24" s="92">
        <f t="shared" si="39"/>
        <v>0.03</v>
      </c>
      <c r="CL24" s="92">
        <f t="shared" si="40"/>
        <v>0.11549999999999999</v>
      </c>
      <c r="CM24" s="127">
        <f t="shared" si="93"/>
        <v>0.14586721234421016</v>
      </c>
      <c r="CN24" s="91">
        <f t="shared" si="41"/>
        <v>0.15</v>
      </c>
      <c r="CO24" s="92">
        <f t="shared" si="42"/>
        <v>0.15</v>
      </c>
      <c r="CP24" s="92">
        <f t="shared" si="43"/>
        <v>0</v>
      </c>
      <c r="CQ24" s="92">
        <f t="shared" si="44"/>
        <v>0</v>
      </c>
      <c r="CR24" s="92">
        <f t="shared" si="45"/>
        <v>0</v>
      </c>
      <c r="CS24" s="92">
        <f t="shared" si="46"/>
        <v>0</v>
      </c>
      <c r="CT24" s="92">
        <f t="shared" si="47"/>
        <v>0.03</v>
      </c>
      <c r="CU24" s="127">
        <f t="shared" si="48"/>
        <v>0.32999999999999996</v>
      </c>
      <c r="CV24" s="231">
        <f t="shared" si="49"/>
        <v>0.73236137215121466</v>
      </c>
      <c r="CW24" s="188">
        <f t="shared" si="50"/>
        <v>1.2184695573143669</v>
      </c>
      <c r="CX24" s="206">
        <f t="shared" si="51"/>
        <v>7.2184695573143669</v>
      </c>
      <c r="CY24" s="231">
        <f t="shared" si="52"/>
        <v>0.83120112267014967</v>
      </c>
      <c r="CZ24">
        <f t="shared" si="53"/>
        <v>33.088964346349748</v>
      </c>
      <c r="DA24">
        <f t="shared" si="54"/>
        <v>650.26021323437078</v>
      </c>
      <c r="DD24" s="22">
        <v>300</v>
      </c>
      <c r="DE24" s="22">
        <f t="shared" si="94"/>
        <v>1884.9555921538758</v>
      </c>
      <c r="DF24" s="91">
        <f t="shared" si="95"/>
        <v>27.541359734656332</v>
      </c>
      <c r="DG24" s="93">
        <f t="shared" si="96"/>
        <v>-10.65314941339204</v>
      </c>
      <c r="DH24" s="91">
        <f t="shared" si="97"/>
        <v>-16.426962110515479</v>
      </c>
      <c r="DI24" s="92">
        <f t="shared" si="98"/>
        <v>113.92105274467629</v>
      </c>
      <c r="DJ24" s="92">
        <f t="shared" si="99"/>
        <v>-18.60718161959376</v>
      </c>
      <c r="DK24" s="93">
        <f t="shared" si="100"/>
        <v>113.99751310265469</v>
      </c>
      <c r="DL24" s="91">
        <f t="shared" si="101"/>
        <v>11.114397624140853</v>
      </c>
      <c r="DM24" s="92">
        <f t="shared" si="102"/>
        <v>103.26790333128424</v>
      </c>
      <c r="DN24" s="92">
        <f t="shared" si="103"/>
        <v>8.9341781150625721</v>
      </c>
      <c r="DO24" s="93">
        <f t="shared" si="104"/>
        <v>103.34436368926265</v>
      </c>
    </row>
    <row r="25" spans="1:119" x14ac:dyDescent="0.25">
      <c r="A25" t="s">
        <v>59</v>
      </c>
      <c r="B25" s="19">
        <f>((VinMin^2)*(D_spec^2)*eff)/(2*Fsw*Pout_Flyback)</f>
        <v>5.0625000000000002E-6</v>
      </c>
      <c r="C25" s="12" t="s">
        <v>319</v>
      </c>
      <c r="K25" s="58">
        <v>21</v>
      </c>
      <c r="L25" s="131">
        <f t="shared" si="55"/>
        <v>25.38</v>
      </c>
      <c r="M25" s="130">
        <f t="shared" si="56"/>
        <v>0.26267402153926978</v>
      </c>
      <c r="N25" s="132">
        <f t="shared" si="0"/>
        <v>0.12948523818089033</v>
      </c>
      <c r="O25" s="52">
        <f t="shared" si="57"/>
        <v>9.1559889981262813E-2</v>
      </c>
      <c r="P25" s="21">
        <f t="shared" si="58"/>
        <v>2.0286020648339487</v>
      </c>
      <c r="Q25" s="19">
        <f t="shared" si="59"/>
        <v>4.0572041296678973</v>
      </c>
      <c r="R25" s="6">
        <f t="shared" si="1"/>
        <v>2.5926700239202445</v>
      </c>
      <c r="S25" s="55">
        <f t="shared" si="60"/>
        <v>0.84290059712305321</v>
      </c>
      <c r="T25" s="133">
        <f t="shared" si="61"/>
        <v>0.80092682252424718</v>
      </c>
      <c r="U25" s="54">
        <f t="shared" si="2"/>
        <v>0.23706792697452767</v>
      </c>
      <c r="V25" s="21">
        <f t="shared" si="62"/>
        <v>4.2182002971133556</v>
      </c>
      <c r="W25" s="21">
        <f t="shared" si="63"/>
        <v>1.185776861683703</v>
      </c>
      <c r="X25" s="63">
        <f t="shared" si="64"/>
        <v>1.0752054527877226</v>
      </c>
      <c r="Y25" s="54">
        <f t="shared" si="3"/>
        <v>0.23706792697452767</v>
      </c>
      <c r="Z25" s="21">
        <f t="shared" si="4"/>
        <v>4.2182002971133556</v>
      </c>
      <c r="AA25" s="21">
        <f t="shared" si="65"/>
        <v>1.185776861683703</v>
      </c>
      <c r="AB25" s="63">
        <f t="shared" si="66"/>
        <v>1.0752054527877226</v>
      </c>
      <c r="AC25" s="52">
        <f t="shared" si="5"/>
        <v>0</v>
      </c>
      <c r="AD25" s="21">
        <f t="shared" si="6"/>
        <v>0</v>
      </c>
      <c r="AE25" s="21">
        <f t="shared" si="67"/>
        <v>0</v>
      </c>
      <c r="AF25" s="63">
        <f t="shared" si="68"/>
        <v>0</v>
      </c>
      <c r="AG25" s="52">
        <f t="shared" si="7"/>
        <v>0</v>
      </c>
      <c r="AH25" s="21">
        <f t="shared" si="8"/>
        <v>0</v>
      </c>
      <c r="AI25" s="21">
        <f t="shared" si="69"/>
        <v>0</v>
      </c>
      <c r="AJ25" s="63">
        <f t="shared" si="70"/>
        <v>0</v>
      </c>
      <c r="AK25" s="52">
        <f t="shared" si="9"/>
        <v>0</v>
      </c>
      <c r="AL25" s="21">
        <f t="shared" si="10"/>
        <v>0</v>
      </c>
      <c r="AM25" s="21">
        <f t="shared" si="71"/>
        <v>0</v>
      </c>
      <c r="AN25" s="63">
        <f t="shared" si="72"/>
        <v>0</v>
      </c>
      <c r="AO25" s="52">
        <f t="shared" si="73"/>
        <v>0</v>
      </c>
      <c r="AP25" s="21">
        <f t="shared" si="11"/>
        <v>0</v>
      </c>
      <c r="AQ25" s="21">
        <f t="shared" si="74"/>
        <v>0</v>
      </c>
      <c r="AR25" s="181">
        <f t="shared" si="75"/>
        <v>0</v>
      </c>
      <c r="AS25" s="52">
        <f t="shared" si="12"/>
        <v>0.15133499330954489</v>
      </c>
      <c r="AT25" s="21">
        <f t="shared" si="13"/>
        <v>1.3215714067592701</v>
      </c>
      <c r="AU25" s="21">
        <f t="shared" si="14"/>
        <v>0.2968244606676107</v>
      </c>
      <c r="AV25" s="63">
        <f t="shared" si="15"/>
        <v>0.2794722892356557</v>
      </c>
      <c r="AW25" s="182">
        <f t="shared" si="76"/>
        <v>9.2209184765179461E-2</v>
      </c>
      <c r="AX25" s="52">
        <f t="shared" si="77"/>
        <v>0</v>
      </c>
      <c r="AY25" s="74">
        <f t="shared" si="78"/>
        <v>0</v>
      </c>
      <c r="AZ25" s="78">
        <f t="shared" si="79"/>
        <v>0</v>
      </c>
      <c r="BA25" s="87">
        <f t="shared" si="80"/>
        <v>0</v>
      </c>
      <c r="BB25" s="110">
        <f t="shared" si="81"/>
        <v>389.58111577303015</v>
      </c>
      <c r="BC25" s="69">
        <f t="shared" si="82"/>
        <v>0.29218583682977262</v>
      </c>
      <c r="BD25" s="42">
        <f t="shared" si="83"/>
        <v>375.77078305839683</v>
      </c>
      <c r="BE25" s="79">
        <f t="shared" si="84"/>
        <v>0.28182808729379766</v>
      </c>
      <c r="BF25" s="117">
        <f t="shared" si="16"/>
        <v>2.2528176359967603E-3</v>
      </c>
      <c r="BG25" s="118">
        <f t="shared" si="17"/>
        <v>2.0944860263003937E-2</v>
      </c>
      <c r="BH25" s="117">
        <f t="shared" si="18"/>
        <v>6.1943381790359594E-4</v>
      </c>
      <c r="BI25" s="118">
        <f t="shared" si="19"/>
        <v>2.6865194238630905E-2</v>
      </c>
      <c r="BJ25" s="117">
        <f t="shared" si="20"/>
        <v>6.1943381790359594E-4</v>
      </c>
      <c r="BK25" s="118">
        <f t="shared" si="21"/>
        <v>2.6865194238630905E-2</v>
      </c>
      <c r="BL25" s="91">
        <f t="shared" si="22"/>
        <v>0</v>
      </c>
      <c r="BM25" s="93">
        <f t="shared" si="23"/>
        <v>0</v>
      </c>
      <c r="BN25" s="91">
        <f t="shared" si="24"/>
        <v>0</v>
      </c>
      <c r="BO25" s="93">
        <f t="shared" si="25"/>
        <v>0</v>
      </c>
      <c r="BP25" s="91">
        <f t="shared" si="26"/>
        <v>0</v>
      </c>
      <c r="BQ25" s="93">
        <f t="shared" si="27"/>
        <v>0</v>
      </c>
      <c r="BR25" s="91">
        <f t="shared" si="28"/>
        <v>0</v>
      </c>
      <c r="BS25" s="93">
        <f t="shared" si="29"/>
        <v>0</v>
      </c>
      <c r="BT25" s="188">
        <f t="shared" si="30"/>
        <v>4.7302218821729144E-5</v>
      </c>
      <c r="BU25" s="93">
        <f t="shared" si="31"/>
        <v>3.4650633806579114E-3</v>
      </c>
      <c r="BV25" s="117">
        <f t="shared" si="85"/>
        <v>8.1679299611549336E-2</v>
      </c>
      <c r="BW25" s="206">
        <f t="shared" si="86"/>
        <v>8.1679299611549336E-2</v>
      </c>
      <c r="BX25" s="206">
        <f t="shared" si="87"/>
        <v>8.1679299611549336E-2</v>
      </c>
      <c r="BY25" s="97">
        <f t="shared" si="88"/>
        <v>0.37386513644132197</v>
      </c>
      <c r="BZ25" s="123">
        <f t="shared" si="89"/>
        <v>0.36350738690534701</v>
      </c>
      <c r="CA25" s="91">
        <f t="shared" si="90"/>
        <v>4.8298349114128938E-3</v>
      </c>
      <c r="CB25" s="92">
        <f t="shared" si="32"/>
        <v>2.5000000000000001E-3</v>
      </c>
      <c r="CC25" s="92">
        <f t="shared" si="33"/>
        <v>2.5000000000000001E-3</v>
      </c>
      <c r="CD25" s="92">
        <f t="shared" si="34"/>
        <v>0</v>
      </c>
      <c r="CE25" s="92">
        <f t="shared" si="35"/>
        <v>0</v>
      </c>
      <c r="CF25" s="92">
        <f t="shared" si="36"/>
        <v>0</v>
      </c>
      <c r="CG25" s="92">
        <f t="shared" si="37"/>
        <v>0</v>
      </c>
      <c r="CH25" s="92">
        <f t="shared" si="38"/>
        <v>1.0000000000000002E-4</v>
      </c>
      <c r="CI25" s="127">
        <f t="shared" si="91"/>
        <v>9.9298349114128933E-3</v>
      </c>
      <c r="CJ25" s="91">
        <f t="shared" si="92"/>
        <v>3.4498820795806381E-4</v>
      </c>
      <c r="CK25" s="92">
        <f t="shared" si="39"/>
        <v>3.0000000000000002E-2</v>
      </c>
      <c r="CL25" s="92">
        <f t="shared" si="40"/>
        <v>0.11549999999999999</v>
      </c>
      <c r="CM25" s="127">
        <f t="shared" si="93"/>
        <v>0.14584498820795805</v>
      </c>
      <c r="CN25" s="91">
        <f t="shared" si="41"/>
        <v>0.15</v>
      </c>
      <c r="CO25" s="92">
        <f t="shared" si="42"/>
        <v>0.15</v>
      </c>
      <c r="CP25" s="92">
        <f t="shared" si="43"/>
        <v>0</v>
      </c>
      <c r="CQ25" s="92">
        <f t="shared" si="44"/>
        <v>0</v>
      </c>
      <c r="CR25" s="92">
        <f t="shared" si="45"/>
        <v>0</v>
      </c>
      <c r="CS25" s="92">
        <f t="shared" si="46"/>
        <v>0</v>
      </c>
      <c r="CT25" s="92">
        <f t="shared" si="47"/>
        <v>0.03</v>
      </c>
      <c r="CU25" s="127">
        <f t="shared" si="48"/>
        <v>0.32999999999999996</v>
      </c>
      <c r="CV25" s="231">
        <f t="shared" si="49"/>
        <v>0.73158752439864783</v>
      </c>
      <c r="CW25" s="188">
        <f t="shared" si="50"/>
        <v>1.2173623475180189</v>
      </c>
      <c r="CX25" s="206">
        <f t="shared" si="51"/>
        <v>7.2173623475180193</v>
      </c>
      <c r="CY25" s="231">
        <f t="shared" si="52"/>
        <v>0.83132863657085776</v>
      </c>
      <c r="CZ25">
        <f t="shared" si="53"/>
        <v>33.868964346349742</v>
      </c>
      <c r="DA25">
        <f t="shared" si="54"/>
        <v>651.04021323437087</v>
      </c>
      <c r="DD25" s="22">
        <v>400</v>
      </c>
      <c r="DE25" s="22">
        <f t="shared" si="94"/>
        <v>2513.2741228718346</v>
      </c>
      <c r="DF25" s="91">
        <f t="shared" si="95"/>
        <v>27.426980860024884</v>
      </c>
      <c r="DG25" s="93">
        <f t="shared" si="96"/>
        <v>-14.079002374015634</v>
      </c>
      <c r="DH25" s="91">
        <f t="shared" si="97"/>
        <v>-18.387887708973505</v>
      </c>
      <c r="DI25" s="92">
        <f t="shared" si="98"/>
        <v>120.54106974954041</v>
      </c>
      <c r="DJ25" s="92">
        <f t="shared" si="99"/>
        <v>-20.567096740981128</v>
      </c>
      <c r="DK25" s="93">
        <f t="shared" si="100"/>
        <v>120.63915263025834</v>
      </c>
      <c r="DL25" s="91">
        <f t="shared" si="101"/>
        <v>9.0390931510513788</v>
      </c>
      <c r="DM25" s="92">
        <f t="shared" si="102"/>
        <v>106.46206737552478</v>
      </c>
      <c r="DN25" s="92">
        <f t="shared" si="103"/>
        <v>6.8598841190437554</v>
      </c>
      <c r="DO25" s="93">
        <f t="shared" si="104"/>
        <v>106.56015025624271</v>
      </c>
    </row>
    <row r="26" spans="1:119" x14ac:dyDescent="0.25">
      <c r="A26" t="s">
        <v>318</v>
      </c>
      <c r="B26" s="19">
        <f>Lm_Flyback_DCM</f>
        <v>2.7E-6</v>
      </c>
      <c r="C26" s="12" t="s">
        <v>319</v>
      </c>
      <c r="K26" s="58">
        <v>22</v>
      </c>
      <c r="L26" s="131">
        <f t="shared" si="55"/>
        <v>26.16</v>
      </c>
      <c r="M26" s="130">
        <f t="shared" si="56"/>
        <v>0.254841997961264</v>
      </c>
      <c r="N26" s="132">
        <f t="shared" si="0"/>
        <v>0.12562443979476287</v>
      </c>
      <c r="O26" s="52">
        <f t="shared" si="57"/>
        <v>8.882989326163801E-2</v>
      </c>
      <c r="P26" s="21">
        <f t="shared" si="58"/>
        <v>2.0286020648339482</v>
      </c>
      <c r="Q26" s="19">
        <f t="shared" si="59"/>
        <v>4.0572041296678973</v>
      </c>
      <c r="R26" s="6">
        <f t="shared" si="1"/>
        <v>2.5800087523498729</v>
      </c>
      <c r="S26" s="55">
        <f t="shared" si="60"/>
        <v>0.83023932555268187</v>
      </c>
      <c r="T26" s="133">
        <f t="shared" si="61"/>
        <v>0.79016004313637833</v>
      </c>
      <c r="U26" s="54">
        <f t="shared" si="2"/>
        <v>0.23706792697452767</v>
      </c>
      <c r="V26" s="21">
        <f t="shared" si="62"/>
        <v>4.2182002971133556</v>
      </c>
      <c r="W26" s="21">
        <f t="shared" si="63"/>
        <v>1.185776861683703</v>
      </c>
      <c r="X26" s="63">
        <f t="shared" si="64"/>
        <v>1.0752054527877226</v>
      </c>
      <c r="Y26" s="54">
        <f t="shared" si="3"/>
        <v>0.23706792697452767</v>
      </c>
      <c r="Z26" s="21">
        <f t="shared" si="4"/>
        <v>4.2182002971133556</v>
      </c>
      <c r="AA26" s="21">
        <f t="shared" si="65"/>
        <v>1.185776861683703</v>
      </c>
      <c r="AB26" s="63">
        <f t="shared" si="66"/>
        <v>1.0752054527877226</v>
      </c>
      <c r="AC26" s="52">
        <f t="shared" si="5"/>
        <v>0</v>
      </c>
      <c r="AD26" s="21">
        <f t="shared" si="6"/>
        <v>0</v>
      </c>
      <c r="AE26" s="21">
        <f t="shared" si="67"/>
        <v>0</v>
      </c>
      <c r="AF26" s="63">
        <f t="shared" si="68"/>
        <v>0</v>
      </c>
      <c r="AG26" s="52">
        <f t="shared" si="7"/>
        <v>0</v>
      </c>
      <c r="AH26" s="21">
        <f t="shared" si="8"/>
        <v>0</v>
      </c>
      <c r="AI26" s="21">
        <f t="shared" si="69"/>
        <v>0</v>
      </c>
      <c r="AJ26" s="63">
        <f t="shared" si="70"/>
        <v>0</v>
      </c>
      <c r="AK26" s="52">
        <f t="shared" si="9"/>
        <v>0</v>
      </c>
      <c r="AL26" s="21">
        <f t="shared" si="10"/>
        <v>0</v>
      </c>
      <c r="AM26" s="21">
        <f t="shared" si="71"/>
        <v>0</v>
      </c>
      <c r="AN26" s="63">
        <f t="shared" si="72"/>
        <v>0</v>
      </c>
      <c r="AO26" s="52">
        <f t="shared" si="73"/>
        <v>0</v>
      </c>
      <c r="AP26" s="21">
        <f t="shared" si="11"/>
        <v>0</v>
      </c>
      <c r="AQ26" s="21">
        <f t="shared" si="74"/>
        <v>0</v>
      </c>
      <c r="AR26" s="181">
        <f t="shared" si="75"/>
        <v>0</v>
      </c>
      <c r="AS26" s="52">
        <f t="shared" si="12"/>
        <v>0.15133499330954489</v>
      </c>
      <c r="AT26" s="21">
        <f t="shared" si="13"/>
        <v>1.3215714067592701</v>
      </c>
      <c r="AU26" s="21">
        <f t="shared" si="14"/>
        <v>0.2968244606676107</v>
      </c>
      <c r="AV26" s="63">
        <f t="shared" si="15"/>
        <v>0.2794722892356557</v>
      </c>
      <c r="AW26" s="182">
        <f t="shared" si="76"/>
        <v>9.2209184765179461E-2</v>
      </c>
      <c r="AX26" s="52">
        <f t="shared" si="77"/>
        <v>0</v>
      </c>
      <c r="AY26" s="74">
        <f t="shared" si="78"/>
        <v>0</v>
      </c>
      <c r="AZ26" s="78">
        <f t="shared" si="79"/>
        <v>0</v>
      </c>
      <c r="BA26" s="87">
        <f t="shared" si="80"/>
        <v>0</v>
      </c>
      <c r="BB26" s="110">
        <f t="shared" si="81"/>
        <v>389.58111577303015</v>
      </c>
      <c r="BC26" s="69">
        <f t="shared" si="82"/>
        <v>0.29218583682977262</v>
      </c>
      <c r="BD26" s="42">
        <f t="shared" si="83"/>
        <v>375.77078305839683</v>
      </c>
      <c r="BE26" s="79">
        <f t="shared" si="84"/>
        <v>0.28182808729379766</v>
      </c>
      <c r="BF26" s="117">
        <f t="shared" si="16"/>
        <v>2.1204781099616208E-3</v>
      </c>
      <c r="BG26" s="118">
        <f t="shared" si="17"/>
        <v>2.0385525906729422E-2</v>
      </c>
      <c r="BH26" s="117">
        <f t="shared" si="18"/>
        <v>6.1943381790359594E-4</v>
      </c>
      <c r="BI26" s="118">
        <f t="shared" si="19"/>
        <v>2.6865194238630905E-2</v>
      </c>
      <c r="BJ26" s="117">
        <f t="shared" si="20"/>
        <v>6.1943381790359594E-4</v>
      </c>
      <c r="BK26" s="118">
        <f t="shared" si="21"/>
        <v>2.6865194238630905E-2</v>
      </c>
      <c r="BL26" s="91">
        <f t="shared" si="22"/>
        <v>0</v>
      </c>
      <c r="BM26" s="93">
        <f t="shared" si="23"/>
        <v>0</v>
      </c>
      <c r="BN26" s="91">
        <f t="shared" si="24"/>
        <v>0</v>
      </c>
      <c r="BO26" s="93">
        <f t="shared" si="25"/>
        <v>0</v>
      </c>
      <c r="BP26" s="91">
        <f t="shared" si="26"/>
        <v>0</v>
      </c>
      <c r="BQ26" s="93">
        <f t="shared" si="27"/>
        <v>0</v>
      </c>
      <c r="BR26" s="91">
        <f t="shared" si="28"/>
        <v>0</v>
      </c>
      <c r="BS26" s="93">
        <f t="shared" si="29"/>
        <v>0</v>
      </c>
      <c r="BT26" s="188">
        <f t="shared" si="30"/>
        <v>4.7302218821729144E-5</v>
      </c>
      <c r="BU26" s="93">
        <f t="shared" si="31"/>
        <v>3.4650633806579114E-3</v>
      </c>
      <c r="BV26" s="117">
        <f t="shared" si="85"/>
        <v>8.0987625729239676E-2</v>
      </c>
      <c r="BW26" s="206">
        <f t="shared" si="86"/>
        <v>8.0987625729239676E-2</v>
      </c>
      <c r="BX26" s="206">
        <f t="shared" si="87"/>
        <v>8.0987625729239676E-2</v>
      </c>
      <c r="BY26" s="97">
        <f t="shared" si="88"/>
        <v>0.37317346255901229</v>
      </c>
      <c r="BZ26" s="123">
        <f t="shared" si="89"/>
        <v>0.36281571302303733</v>
      </c>
      <c r="CA26" s="91">
        <f t="shared" si="90"/>
        <v>4.5461110747422222E-3</v>
      </c>
      <c r="CB26" s="92">
        <f t="shared" si="32"/>
        <v>2.5000000000000001E-3</v>
      </c>
      <c r="CC26" s="92">
        <f t="shared" si="33"/>
        <v>2.5000000000000001E-3</v>
      </c>
      <c r="CD26" s="92">
        <f t="shared" si="34"/>
        <v>0</v>
      </c>
      <c r="CE26" s="92">
        <f t="shared" si="35"/>
        <v>0</v>
      </c>
      <c r="CF26" s="92">
        <f t="shared" si="36"/>
        <v>0</v>
      </c>
      <c r="CG26" s="92">
        <f t="shared" si="37"/>
        <v>0</v>
      </c>
      <c r="CH26" s="92">
        <f t="shared" si="38"/>
        <v>1.0000000000000002E-4</v>
      </c>
      <c r="CI26" s="127">
        <f t="shared" si="91"/>
        <v>9.6461110747422217E-3</v>
      </c>
      <c r="CJ26" s="91">
        <f t="shared" si="92"/>
        <v>3.2472221962444439E-4</v>
      </c>
      <c r="CK26" s="92">
        <f t="shared" si="39"/>
        <v>0.03</v>
      </c>
      <c r="CL26" s="92">
        <f t="shared" si="40"/>
        <v>0.11549999999999999</v>
      </c>
      <c r="CM26" s="127">
        <f t="shared" si="93"/>
        <v>0.14582472221962445</v>
      </c>
      <c r="CN26" s="91">
        <f t="shared" si="41"/>
        <v>0.15</v>
      </c>
      <c r="CO26" s="92">
        <f t="shared" si="42"/>
        <v>0.15</v>
      </c>
      <c r="CP26" s="92">
        <f t="shared" si="43"/>
        <v>0</v>
      </c>
      <c r="CQ26" s="92">
        <f t="shared" si="44"/>
        <v>0</v>
      </c>
      <c r="CR26" s="92">
        <f t="shared" si="45"/>
        <v>0</v>
      </c>
      <c r="CS26" s="92">
        <f t="shared" si="46"/>
        <v>0</v>
      </c>
      <c r="CT26" s="92">
        <f t="shared" si="47"/>
        <v>0.03</v>
      </c>
      <c r="CU26" s="127">
        <f t="shared" si="48"/>
        <v>0.32999999999999996</v>
      </c>
      <c r="CV26" s="231">
        <f t="shared" si="49"/>
        <v>0.73079901348951615</v>
      </c>
      <c r="CW26" s="188">
        <f t="shared" si="50"/>
        <v>1.2162698467838826</v>
      </c>
      <c r="CX26" s="206">
        <f t="shared" si="51"/>
        <v>7.2162698467838826</v>
      </c>
      <c r="CY26" s="231">
        <f t="shared" si="52"/>
        <v>0.83145449482796918</v>
      </c>
      <c r="CZ26">
        <f t="shared" si="53"/>
        <v>34.648964346349743</v>
      </c>
      <c r="DA26">
        <f t="shared" si="54"/>
        <v>651.82021323437084</v>
      </c>
      <c r="DD26" s="22">
        <v>500</v>
      </c>
      <c r="DE26" s="22">
        <f t="shared" si="94"/>
        <v>3141.5926535897929</v>
      </c>
      <c r="DF26" s="91">
        <f t="shared" si="95"/>
        <v>27.284214491267239</v>
      </c>
      <c r="DG26" s="93">
        <f t="shared" si="96"/>
        <v>-17.404594495249242</v>
      </c>
      <c r="DH26" s="91">
        <f t="shared" si="97"/>
        <v>-19.720051124529363</v>
      </c>
      <c r="DI26" s="92">
        <f t="shared" si="98"/>
        <v>126.32453182396308</v>
      </c>
      <c r="DJ26" s="92">
        <f t="shared" si="99"/>
        <v>-21.898250411314546</v>
      </c>
      <c r="DK26" s="93">
        <f t="shared" si="100"/>
        <v>126.44236370486698</v>
      </c>
      <c r="DL26" s="91">
        <f t="shared" si="101"/>
        <v>7.5641633667378763</v>
      </c>
      <c r="DM26" s="92">
        <f t="shared" si="102"/>
        <v>108.91993732871384</v>
      </c>
      <c r="DN26" s="92">
        <f t="shared" si="103"/>
        <v>5.3859640799526929</v>
      </c>
      <c r="DO26" s="93">
        <f t="shared" si="104"/>
        <v>109.03776920961774</v>
      </c>
    </row>
    <row r="27" spans="1:119" x14ac:dyDescent="0.25">
      <c r="A27" t="s">
        <v>103</v>
      </c>
      <c r="B27" s="8">
        <f>MAX(Flyback_DCM_Calc!Q4:Q54)</f>
        <v>4.0572041296678973</v>
      </c>
      <c r="C27" s="12" t="s">
        <v>6</v>
      </c>
      <c r="K27" s="58">
        <v>23</v>
      </c>
      <c r="L27" s="131">
        <f t="shared" si="55"/>
        <v>26.94</v>
      </c>
      <c r="M27" s="130">
        <f t="shared" si="56"/>
        <v>0.24746349913387777</v>
      </c>
      <c r="N27" s="132">
        <f t="shared" si="0"/>
        <v>0.12198720657130646</v>
      </c>
      <c r="O27" s="52">
        <f t="shared" si="57"/>
        <v>8.6257980984574975E-2</v>
      </c>
      <c r="P27" s="21">
        <f t="shared" si="58"/>
        <v>2.0286020648339491</v>
      </c>
      <c r="Q27" s="19">
        <f t="shared" si="59"/>
        <v>4.0572041296678965</v>
      </c>
      <c r="R27" s="6">
        <f t="shared" si="1"/>
        <v>2.5679014172192893</v>
      </c>
      <c r="S27" s="55">
        <f t="shared" si="60"/>
        <v>0.81813199042209828</v>
      </c>
      <c r="T27" s="133">
        <f t="shared" si="61"/>
        <v>0.77980880371309058</v>
      </c>
      <c r="U27" s="54">
        <f t="shared" si="2"/>
        <v>0.23706792697452767</v>
      </c>
      <c r="V27" s="21">
        <f t="shared" si="62"/>
        <v>4.2182002971133556</v>
      </c>
      <c r="W27" s="21">
        <f t="shared" si="63"/>
        <v>1.185776861683703</v>
      </c>
      <c r="X27" s="63">
        <f t="shared" si="64"/>
        <v>1.0752054527877226</v>
      </c>
      <c r="Y27" s="54">
        <f t="shared" si="3"/>
        <v>0.23706792697452767</v>
      </c>
      <c r="Z27" s="21">
        <f t="shared" si="4"/>
        <v>4.2182002971133556</v>
      </c>
      <c r="AA27" s="21">
        <f t="shared" si="65"/>
        <v>1.185776861683703</v>
      </c>
      <c r="AB27" s="63">
        <f t="shared" si="66"/>
        <v>1.0752054527877226</v>
      </c>
      <c r="AC27" s="52">
        <f t="shared" si="5"/>
        <v>0</v>
      </c>
      <c r="AD27" s="21">
        <f t="shared" si="6"/>
        <v>0</v>
      </c>
      <c r="AE27" s="21">
        <f t="shared" si="67"/>
        <v>0</v>
      </c>
      <c r="AF27" s="63">
        <f t="shared" si="68"/>
        <v>0</v>
      </c>
      <c r="AG27" s="52">
        <f t="shared" si="7"/>
        <v>0</v>
      </c>
      <c r="AH27" s="21">
        <f t="shared" si="8"/>
        <v>0</v>
      </c>
      <c r="AI27" s="21">
        <f t="shared" si="69"/>
        <v>0</v>
      </c>
      <c r="AJ27" s="63">
        <f t="shared" si="70"/>
        <v>0</v>
      </c>
      <c r="AK27" s="52">
        <f t="shared" si="9"/>
        <v>0</v>
      </c>
      <c r="AL27" s="21">
        <f t="shared" si="10"/>
        <v>0</v>
      </c>
      <c r="AM27" s="21">
        <f t="shared" si="71"/>
        <v>0</v>
      </c>
      <c r="AN27" s="63">
        <f t="shared" si="72"/>
        <v>0</v>
      </c>
      <c r="AO27" s="52">
        <f t="shared" si="73"/>
        <v>0</v>
      </c>
      <c r="AP27" s="21">
        <f t="shared" si="11"/>
        <v>0</v>
      </c>
      <c r="AQ27" s="21">
        <f t="shared" si="74"/>
        <v>0</v>
      </c>
      <c r="AR27" s="181">
        <f t="shared" si="75"/>
        <v>0</v>
      </c>
      <c r="AS27" s="52">
        <f t="shared" si="12"/>
        <v>0.15133499330954489</v>
      </c>
      <c r="AT27" s="21">
        <f t="shared" si="13"/>
        <v>1.3215714067592701</v>
      </c>
      <c r="AU27" s="21">
        <f t="shared" si="14"/>
        <v>0.2968244606676107</v>
      </c>
      <c r="AV27" s="63">
        <f t="shared" si="15"/>
        <v>0.2794722892356557</v>
      </c>
      <c r="AW27" s="182">
        <f t="shared" si="76"/>
        <v>9.2209184765179447E-2</v>
      </c>
      <c r="AX27" s="52">
        <f t="shared" si="77"/>
        <v>0</v>
      </c>
      <c r="AY27" s="74">
        <f t="shared" si="78"/>
        <v>0</v>
      </c>
      <c r="AZ27" s="78">
        <f t="shared" si="79"/>
        <v>0</v>
      </c>
      <c r="BA27" s="87">
        <f t="shared" si="80"/>
        <v>0</v>
      </c>
      <c r="BB27" s="110">
        <f t="shared" si="81"/>
        <v>389.58111577303015</v>
      </c>
      <c r="BC27" s="69">
        <f t="shared" si="82"/>
        <v>0.29218583682977262</v>
      </c>
      <c r="BD27" s="42">
        <f t="shared" si="83"/>
        <v>375.77078305839683</v>
      </c>
      <c r="BE27" s="79">
        <f t="shared" si="84"/>
        <v>0.28182808729379766</v>
      </c>
      <c r="BF27" s="117">
        <f t="shared" si="16"/>
        <v>1.9994663061753881E-3</v>
      </c>
      <c r="BG27" s="118">
        <f t="shared" si="17"/>
        <v>1.9854916213373139E-2</v>
      </c>
      <c r="BH27" s="117">
        <f t="shared" si="18"/>
        <v>6.1943381790359594E-4</v>
      </c>
      <c r="BI27" s="118">
        <f t="shared" si="19"/>
        <v>2.6865194238630905E-2</v>
      </c>
      <c r="BJ27" s="117">
        <f t="shared" si="20"/>
        <v>6.1943381790359594E-4</v>
      </c>
      <c r="BK27" s="118">
        <f t="shared" si="21"/>
        <v>2.6865194238630905E-2</v>
      </c>
      <c r="BL27" s="91">
        <f t="shared" si="22"/>
        <v>0</v>
      </c>
      <c r="BM27" s="93">
        <f t="shared" si="23"/>
        <v>0</v>
      </c>
      <c r="BN27" s="91">
        <f t="shared" si="24"/>
        <v>0</v>
      </c>
      <c r="BO27" s="93">
        <f t="shared" si="25"/>
        <v>0</v>
      </c>
      <c r="BP27" s="91">
        <f t="shared" si="26"/>
        <v>0</v>
      </c>
      <c r="BQ27" s="93">
        <f t="shared" si="27"/>
        <v>0</v>
      </c>
      <c r="BR27" s="91">
        <f t="shared" si="28"/>
        <v>0</v>
      </c>
      <c r="BS27" s="93">
        <f t="shared" si="29"/>
        <v>0</v>
      </c>
      <c r="BT27" s="188">
        <f t="shared" si="30"/>
        <v>4.7302218821729144E-5</v>
      </c>
      <c r="BU27" s="93">
        <f t="shared" si="31"/>
        <v>3.4650633806579114E-3</v>
      </c>
      <c r="BV27" s="117">
        <f t="shared" si="85"/>
        <v>8.0336004232097163E-2</v>
      </c>
      <c r="BW27" s="206">
        <f t="shared" si="86"/>
        <v>8.0336004232097163E-2</v>
      </c>
      <c r="BX27" s="206">
        <f t="shared" si="87"/>
        <v>8.0336004232097163E-2</v>
      </c>
      <c r="BY27" s="97">
        <f t="shared" si="88"/>
        <v>0.37252184106186981</v>
      </c>
      <c r="BZ27" s="123">
        <f t="shared" si="89"/>
        <v>0.36216409152589479</v>
      </c>
      <c r="CA27" s="91">
        <f t="shared" si="90"/>
        <v>4.2866728382507909E-3</v>
      </c>
      <c r="CB27" s="92">
        <f t="shared" si="32"/>
        <v>2.5000000000000001E-3</v>
      </c>
      <c r="CC27" s="92">
        <f t="shared" si="33"/>
        <v>2.5000000000000001E-3</v>
      </c>
      <c r="CD27" s="92">
        <f t="shared" si="34"/>
        <v>0</v>
      </c>
      <c r="CE27" s="92">
        <f t="shared" si="35"/>
        <v>0</v>
      </c>
      <c r="CF27" s="92">
        <f t="shared" si="36"/>
        <v>0</v>
      </c>
      <c r="CG27" s="92">
        <f t="shared" si="37"/>
        <v>0</v>
      </c>
      <c r="CH27" s="92">
        <f t="shared" si="38"/>
        <v>1.0000000000000002E-4</v>
      </c>
      <c r="CI27" s="127">
        <f t="shared" si="91"/>
        <v>9.3866728382507904E-3</v>
      </c>
      <c r="CJ27" s="91">
        <f t="shared" si="92"/>
        <v>3.0619091701791361E-4</v>
      </c>
      <c r="CK27" s="92">
        <f t="shared" si="39"/>
        <v>3.0000000000000009E-2</v>
      </c>
      <c r="CL27" s="92">
        <f t="shared" si="40"/>
        <v>0.11549999999999999</v>
      </c>
      <c r="CM27" s="127">
        <f t="shared" si="93"/>
        <v>0.14580619091701791</v>
      </c>
      <c r="CN27" s="91">
        <f t="shared" si="41"/>
        <v>0.15</v>
      </c>
      <c r="CO27" s="92">
        <f t="shared" si="42"/>
        <v>0.15</v>
      </c>
      <c r="CP27" s="92">
        <f t="shared" si="43"/>
        <v>0</v>
      </c>
      <c r="CQ27" s="92">
        <f t="shared" si="44"/>
        <v>0</v>
      </c>
      <c r="CR27" s="92">
        <f t="shared" si="45"/>
        <v>0</v>
      </c>
      <c r="CS27" s="92">
        <f t="shared" si="46"/>
        <v>0</v>
      </c>
      <c r="CT27" s="92">
        <f t="shared" si="47"/>
        <v>0.03</v>
      </c>
      <c r="CU27" s="127">
        <f t="shared" si="48"/>
        <v>0.32999999999999996</v>
      </c>
      <c r="CV27" s="231">
        <f t="shared" si="49"/>
        <v>0.72999541867308859</v>
      </c>
      <c r="CW27" s="188">
        <f t="shared" si="50"/>
        <v>1.2151882824283571</v>
      </c>
      <c r="CX27" s="206">
        <f t="shared" si="51"/>
        <v>7.2151882824283575</v>
      </c>
      <c r="CY27" s="231">
        <f t="shared" si="52"/>
        <v>0.83157913073622913</v>
      </c>
      <c r="CZ27">
        <f t="shared" si="53"/>
        <v>35.428964346349744</v>
      </c>
      <c r="DA27">
        <f t="shared" si="54"/>
        <v>652.60021323437081</v>
      </c>
      <c r="DD27" s="22">
        <v>600</v>
      </c>
      <c r="DE27" s="22">
        <f t="shared" si="94"/>
        <v>3769.9111843077517</v>
      </c>
      <c r="DF27" s="91">
        <f t="shared" si="95"/>
        <v>27.115864728303833</v>
      </c>
      <c r="DG27" s="93">
        <f t="shared" si="96"/>
        <v>-20.612797390525898</v>
      </c>
      <c r="DH27" s="91">
        <f t="shared" si="97"/>
        <v>-20.662193530622623</v>
      </c>
      <c r="DI27" s="92">
        <f t="shared" si="98"/>
        <v>131.31404901478624</v>
      </c>
      <c r="DJ27" s="92">
        <f t="shared" si="99"/>
        <v>-22.839451693720992</v>
      </c>
      <c r="DK27" s="93">
        <f t="shared" si="100"/>
        <v>131.4501964743877</v>
      </c>
      <c r="DL27" s="91">
        <f t="shared" si="101"/>
        <v>6.45367119768121</v>
      </c>
      <c r="DM27" s="92">
        <f t="shared" si="102"/>
        <v>110.70125162426034</v>
      </c>
      <c r="DN27" s="92">
        <f t="shared" si="103"/>
        <v>4.2764130345828413</v>
      </c>
      <c r="DO27" s="93">
        <f t="shared" si="104"/>
        <v>110.8373990838618</v>
      </c>
    </row>
    <row r="28" spans="1:119" x14ac:dyDescent="0.25">
      <c r="A28" t="s">
        <v>104</v>
      </c>
      <c r="B28" s="8">
        <f>MAX(Flyback_DCM_Calc!Q5:Q55)</f>
        <v>4.0572041296678973</v>
      </c>
      <c r="C28" s="12" t="s">
        <v>6</v>
      </c>
      <c r="K28" s="58">
        <v>24</v>
      </c>
      <c r="L28" s="131">
        <f t="shared" si="55"/>
        <v>27.72</v>
      </c>
      <c r="M28" s="130">
        <f t="shared" si="56"/>
        <v>0.24050024050024049</v>
      </c>
      <c r="N28" s="132">
        <f t="shared" si="0"/>
        <v>0.11855466612665932</v>
      </c>
      <c r="O28" s="52">
        <f t="shared" si="57"/>
        <v>8.3830808359467893E-2</v>
      </c>
      <c r="P28" s="21">
        <f t="shared" si="58"/>
        <v>2.0286020648339487</v>
      </c>
      <c r="Q28" s="19">
        <f t="shared" si="59"/>
        <v>4.0572041296678973</v>
      </c>
      <c r="R28" s="6">
        <f t="shared" si="1"/>
        <v>2.5563087703069374</v>
      </c>
      <c r="S28" s="55">
        <f t="shared" si="60"/>
        <v>0.8065393435097461</v>
      </c>
      <c r="T28" s="133">
        <f t="shared" si="61"/>
        <v>0.76984761280948244</v>
      </c>
      <c r="U28" s="54">
        <f t="shared" si="2"/>
        <v>0.23706792697452767</v>
      </c>
      <c r="V28" s="21">
        <f t="shared" si="62"/>
        <v>4.2182002971133556</v>
      </c>
      <c r="W28" s="21">
        <f t="shared" si="63"/>
        <v>1.185776861683703</v>
      </c>
      <c r="X28" s="63">
        <f t="shared" si="64"/>
        <v>1.0752054527877226</v>
      </c>
      <c r="Y28" s="54">
        <f t="shared" si="3"/>
        <v>0.23706792697452767</v>
      </c>
      <c r="Z28" s="21">
        <f t="shared" si="4"/>
        <v>4.2182002971133556</v>
      </c>
      <c r="AA28" s="21">
        <f t="shared" si="65"/>
        <v>1.185776861683703</v>
      </c>
      <c r="AB28" s="63">
        <f t="shared" si="66"/>
        <v>1.0752054527877226</v>
      </c>
      <c r="AC28" s="52">
        <f t="shared" si="5"/>
        <v>0</v>
      </c>
      <c r="AD28" s="21">
        <f t="shared" si="6"/>
        <v>0</v>
      </c>
      <c r="AE28" s="21">
        <f t="shared" si="67"/>
        <v>0</v>
      </c>
      <c r="AF28" s="63">
        <f t="shared" si="68"/>
        <v>0</v>
      </c>
      <c r="AG28" s="52">
        <f t="shared" si="7"/>
        <v>0</v>
      </c>
      <c r="AH28" s="21">
        <f t="shared" si="8"/>
        <v>0</v>
      </c>
      <c r="AI28" s="21">
        <f t="shared" si="69"/>
        <v>0</v>
      </c>
      <c r="AJ28" s="63">
        <f t="shared" si="70"/>
        <v>0</v>
      </c>
      <c r="AK28" s="52">
        <f t="shared" si="9"/>
        <v>0</v>
      </c>
      <c r="AL28" s="21">
        <f t="shared" si="10"/>
        <v>0</v>
      </c>
      <c r="AM28" s="21">
        <f t="shared" si="71"/>
        <v>0</v>
      </c>
      <c r="AN28" s="63">
        <f t="shared" si="72"/>
        <v>0</v>
      </c>
      <c r="AO28" s="52">
        <f t="shared" si="73"/>
        <v>0</v>
      </c>
      <c r="AP28" s="21">
        <f t="shared" si="11"/>
        <v>0</v>
      </c>
      <c r="AQ28" s="21">
        <f t="shared" si="74"/>
        <v>0</v>
      </c>
      <c r="AR28" s="181">
        <f t="shared" si="75"/>
        <v>0</v>
      </c>
      <c r="AS28" s="52">
        <f t="shared" si="12"/>
        <v>0.15133499330954489</v>
      </c>
      <c r="AT28" s="21">
        <f t="shared" si="13"/>
        <v>1.3215714067592701</v>
      </c>
      <c r="AU28" s="21">
        <f t="shared" si="14"/>
        <v>0.2968244606676107</v>
      </c>
      <c r="AV28" s="63">
        <f t="shared" si="15"/>
        <v>0.2794722892356557</v>
      </c>
      <c r="AW28" s="182">
        <f t="shared" si="76"/>
        <v>9.2209184765179461E-2</v>
      </c>
      <c r="AX28" s="52">
        <f t="shared" si="77"/>
        <v>0</v>
      </c>
      <c r="AY28" s="74">
        <f t="shared" si="78"/>
        <v>0</v>
      </c>
      <c r="AZ28" s="78">
        <f t="shared" si="79"/>
        <v>0</v>
      </c>
      <c r="BA28" s="87">
        <f t="shared" si="80"/>
        <v>0</v>
      </c>
      <c r="BB28" s="110">
        <f t="shared" si="81"/>
        <v>389.58111577303015</v>
      </c>
      <c r="BC28" s="69">
        <f t="shared" si="82"/>
        <v>0.29218583682977262</v>
      </c>
      <c r="BD28" s="42">
        <f t="shared" si="83"/>
        <v>375.77078305839683</v>
      </c>
      <c r="BE28" s="79">
        <f t="shared" si="84"/>
        <v>0.28182808729379766</v>
      </c>
      <c r="BF28" s="117">
        <f t="shared" si="16"/>
        <v>1.8885253593039126E-3</v>
      </c>
      <c r="BG28" s="118">
        <f t="shared" si="17"/>
        <v>1.9350907002768158E-2</v>
      </c>
      <c r="BH28" s="117">
        <f t="shared" si="18"/>
        <v>6.1943381790359594E-4</v>
      </c>
      <c r="BI28" s="118">
        <f t="shared" si="19"/>
        <v>2.6865194238630905E-2</v>
      </c>
      <c r="BJ28" s="117">
        <f t="shared" si="20"/>
        <v>6.1943381790359594E-4</v>
      </c>
      <c r="BK28" s="118">
        <f t="shared" si="21"/>
        <v>2.6865194238630905E-2</v>
      </c>
      <c r="BL28" s="91">
        <f t="shared" si="22"/>
        <v>0</v>
      </c>
      <c r="BM28" s="93">
        <f t="shared" si="23"/>
        <v>0</v>
      </c>
      <c r="BN28" s="91">
        <f t="shared" si="24"/>
        <v>0</v>
      </c>
      <c r="BO28" s="93">
        <f t="shared" si="25"/>
        <v>0</v>
      </c>
      <c r="BP28" s="91">
        <f t="shared" si="26"/>
        <v>0</v>
      </c>
      <c r="BQ28" s="93">
        <f t="shared" si="27"/>
        <v>0</v>
      </c>
      <c r="BR28" s="91">
        <f t="shared" si="28"/>
        <v>0</v>
      </c>
      <c r="BS28" s="93">
        <f t="shared" si="29"/>
        <v>0</v>
      </c>
      <c r="BT28" s="188">
        <f t="shared" si="30"/>
        <v>4.7302218821729144E-5</v>
      </c>
      <c r="BU28" s="93">
        <f t="shared" si="31"/>
        <v>3.4650633806579114E-3</v>
      </c>
      <c r="BV28" s="117">
        <f t="shared" si="85"/>
        <v>7.9721054074620698E-2</v>
      </c>
      <c r="BW28" s="206">
        <f t="shared" si="86"/>
        <v>7.9721054074620698E-2</v>
      </c>
      <c r="BX28" s="206">
        <f t="shared" si="87"/>
        <v>7.9721054074620698E-2</v>
      </c>
      <c r="BY28" s="97">
        <f t="shared" si="88"/>
        <v>0.37190689090439333</v>
      </c>
      <c r="BZ28" s="123">
        <f t="shared" si="89"/>
        <v>0.36154914136841837</v>
      </c>
      <c r="CA28" s="91">
        <f t="shared" si="90"/>
        <v>4.0488255976471469E-3</v>
      </c>
      <c r="CB28" s="92">
        <f t="shared" si="32"/>
        <v>2.5000000000000001E-3</v>
      </c>
      <c r="CC28" s="92">
        <f t="shared" si="33"/>
        <v>2.5000000000000001E-3</v>
      </c>
      <c r="CD28" s="92">
        <f t="shared" si="34"/>
        <v>0</v>
      </c>
      <c r="CE28" s="92">
        <f t="shared" si="35"/>
        <v>0</v>
      </c>
      <c r="CF28" s="92">
        <f t="shared" si="36"/>
        <v>0</v>
      </c>
      <c r="CG28" s="92">
        <f t="shared" si="37"/>
        <v>0</v>
      </c>
      <c r="CH28" s="92">
        <f t="shared" si="38"/>
        <v>1.0000000000000002E-4</v>
      </c>
      <c r="CI28" s="127">
        <f t="shared" si="91"/>
        <v>9.1488255976471464E-3</v>
      </c>
      <c r="CJ28" s="91">
        <f t="shared" si="92"/>
        <v>2.892018284033676E-4</v>
      </c>
      <c r="CK28" s="92">
        <f t="shared" si="39"/>
        <v>0.03</v>
      </c>
      <c r="CL28" s="92">
        <f t="shared" si="40"/>
        <v>0.11549999999999999</v>
      </c>
      <c r="CM28" s="127">
        <f t="shared" si="93"/>
        <v>0.14578920182840335</v>
      </c>
      <c r="CN28" s="91">
        <f t="shared" si="41"/>
        <v>0.15</v>
      </c>
      <c r="CO28" s="92">
        <f t="shared" si="42"/>
        <v>0.15</v>
      </c>
      <c r="CP28" s="92">
        <f t="shared" si="43"/>
        <v>0</v>
      </c>
      <c r="CQ28" s="92">
        <f t="shared" si="44"/>
        <v>0</v>
      </c>
      <c r="CR28" s="92">
        <f t="shared" si="45"/>
        <v>0</v>
      </c>
      <c r="CS28" s="92">
        <f t="shared" si="46"/>
        <v>0</v>
      </c>
      <c r="CT28" s="92">
        <f t="shared" si="47"/>
        <v>0.03</v>
      </c>
      <c r="CU28" s="127">
        <f t="shared" si="48"/>
        <v>0.32999999999999996</v>
      </c>
      <c r="CV28" s="231">
        <f t="shared" si="49"/>
        <v>0.72917630294558189</v>
      </c>
      <c r="CW28" s="188">
        <f t="shared" si="50"/>
        <v>1.2141143303716322</v>
      </c>
      <c r="CX28" s="206">
        <f t="shared" si="51"/>
        <v>7.2141143303716326</v>
      </c>
      <c r="CY28" s="231">
        <f t="shared" si="52"/>
        <v>0.83170292640633992</v>
      </c>
      <c r="CZ28">
        <f t="shared" si="53"/>
        <v>36.208964346349745</v>
      </c>
      <c r="DA28">
        <f t="shared" si="54"/>
        <v>653.3802132343709</v>
      </c>
      <c r="DD28" s="22">
        <v>700</v>
      </c>
      <c r="DE28" s="22">
        <f t="shared" si="94"/>
        <v>4398.22971502571</v>
      </c>
      <c r="DF28" s="91">
        <f t="shared" si="95"/>
        <v>26.924970394839271</v>
      </c>
      <c r="DG28" s="93">
        <f t="shared" si="96"/>
        <v>-23.69059614155573</v>
      </c>
      <c r="DH28" s="91">
        <f t="shared" si="97"/>
        <v>-21.348089279135792</v>
      </c>
      <c r="DI28" s="92">
        <f t="shared" si="98"/>
        <v>135.59265583666348</v>
      </c>
      <c r="DJ28" s="92">
        <f t="shared" si="99"/>
        <v>-23.524503341518216</v>
      </c>
      <c r="DK28" s="93">
        <f t="shared" si="100"/>
        <v>135.74612070858473</v>
      </c>
      <c r="DL28" s="91">
        <f t="shared" si="101"/>
        <v>5.576881115703479</v>
      </c>
      <c r="DM28" s="92">
        <f t="shared" si="102"/>
        <v>111.90205969510775</v>
      </c>
      <c r="DN28" s="92">
        <f t="shared" si="103"/>
        <v>3.400467053321055</v>
      </c>
      <c r="DO28" s="93">
        <f t="shared" si="104"/>
        <v>112.055524567029</v>
      </c>
    </row>
    <row r="29" spans="1:119" x14ac:dyDescent="0.25">
      <c r="A29" t="s">
        <v>105</v>
      </c>
      <c r="B29" s="8">
        <f>MAX(Flyback_DCM_Calc!S4:S54)</f>
        <v>1.4154708032657286</v>
      </c>
      <c r="C29" s="12" t="s">
        <v>6</v>
      </c>
      <c r="K29" s="58">
        <v>25</v>
      </c>
      <c r="L29" s="131">
        <f t="shared" si="55"/>
        <v>28.5</v>
      </c>
      <c r="M29" s="130">
        <f t="shared" si="56"/>
        <v>0.23391812865497075</v>
      </c>
      <c r="N29" s="132">
        <f t="shared" si="0"/>
        <v>0.11531001210635075</v>
      </c>
      <c r="O29" s="52">
        <f t="shared" si="57"/>
        <v>8.1536491499103511E-2</v>
      </c>
      <c r="P29" s="21">
        <f t="shared" si="58"/>
        <v>2.0286020648339487</v>
      </c>
      <c r="Q29" s="19">
        <f t="shared" si="59"/>
        <v>4.0572041296678973</v>
      </c>
      <c r="R29" s="6">
        <f t="shared" si="1"/>
        <v>2.5451953494252861</v>
      </c>
      <c r="S29" s="55">
        <f t="shared" si="60"/>
        <v>0.79542592262809486</v>
      </c>
      <c r="T29" s="133">
        <f t="shared" si="61"/>
        <v>0.76025305489377182</v>
      </c>
      <c r="U29" s="54">
        <f t="shared" si="2"/>
        <v>0.23706792697452767</v>
      </c>
      <c r="V29" s="21">
        <f t="shared" si="62"/>
        <v>4.2182002971133556</v>
      </c>
      <c r="W29" s="21">
        <f t="shared" si="63"/>
        <v>1.185776861683703</v>
      </c>
      <c r="X29" s="63">
        <f t="shared" si="64"/>
        <v>1.0752054527877226</v>
      </c>
      <c r="Y29" s="54">
        <f t="shared" si="3"/>
        <v>0.23706792697452767</v>
      </c>
      <c r="Z29" s="21">
        <f t="shared" si="4"/>
        <v>4.2182002971133556</v>
      </c>
      <c r="AA29" s="21">
        <f t="shared" si="65"/>
        <v>1.185776861683703</v>
      </c>
      <c r="AB29" s="63">
        <f t="shared" si="66"/>
        <v>1.0752054527877226</v>
      </c>
      <c r="AC29" s="52">
        <f t="shared" si="5"/>
        <v>0</v>
      </c>
      <c r="AD29" s="21">
        <f t="shared" si="6"/>
        <v>0</v>
      </c>
      <c r="AE29" s="21">
        <f t="shared" si="67"/>
        <v>0</v>
      </c>
      <c r="AF29" s="63">
        <f t="shared" si="68"/>
        <v>0</v>
      </c>
      <c r="AG29" s="52">
        <f t="shared" si="7"/>
        <v>0</v>
      </c>
      <c r="AH29" s="21">
        <f t="shared" si="8"/>
        <v>0</v>
      </c>
      <c r="AI29" s="21">
        <f t="shared" si="69"/>
        <v>0</v>
      </c>
      <c r="AJ29" s="63">
        <f t="shared" si="70"/>
        <v>0</v>
      </c>
      <c r="AK29" s="52">
        <f t="shared" si="9"/>
        <v>0</v>
      </c>
      <c r="AL29" s="21">
        <f t="shared" si="10"/>
        <v>0</v>
      </c>
      <c r="AM29" s="21">
        <f t="shared" si="71"/>
        <v>0</v>
      </c>
      <c r="AN29" s="63">
        <f t="shared" si="72"/>
        <v>0</v>
      </c>
      <c r="AO29" s="52">
        <f t="shared" si="73"/>
        <v>0</v>
      </c>
      <c r="AP29" s="21">
        <f t="shared" si="11"/>
        <v>0</v>
      </c>
      <c r="AQ29" s="21">
        <f t="shared" si="74"/>
        <v>0</v>
      </c>
      <c r="AR29" s="181">
        <f t="shared" si="75"/>
        <v>0</v>
      </c>
      <c r="AS29" s="52">
        <f t="shared" si="12"/>
        <v>0.15133499330954489</v>
      </c>
      <c r="AT29" s="21">
        <f t="shared" si="13"/>
        <v>1.3215714067592701</v>
      </c>
      <c r="AU29" s="21">
        <f t="shared" si="14"/>
        <v>0.2968244606676107</v>
      </c>
      <c r="AV29" s="63">
        <f t="shared" si="15"/>
        <v>0.2794722892356557</v>
      </c>
      <c r="AW29" s="182">
        <f t="shared" si="76"/>
        <v>9.2209184765179461E-2</v>
      </c>
      <c r="AX29" s="52">
        <f t="shared" si="77"/>
        <v>0</v>
      </c>
      <c r="AY29" s="74">
        <f t="shared" si="78"/>
        <v>0</v>
      </c>
      <c r="AZ29" s="78">
        <f t="shared" si="79"/>
        <v>0</v>
      </c>
      <c r="BA29" s="87">
        <f t="shared" si="80"/>
        <v>0</v>
      </c>
      <c r="BB29" s="110">
        <f t="shared" si="81"/>
        <v>389.58111577303015</v>
      </c>
      <c r="BC29" s="69">
        <f t="shared" si="82"/>
        <v>0.29218583682977262</v>
      </c>
      <c r="BD29" s="42">
        <f t="shared" si="83"/>
        <v>375.77078305839683</v>
      </c>
      <c r="BE29" s="79">
        <f t="shared" si="84"/>
        <v>0.28182808729379766</v>
      </c>
      <c r="BF29" s="117">
        <f t="shared" si="16"/>
        <v>1.7865680079391215E-3</v>
      </c>
      <c r="BG29" s="118">
        <f t="shared" si="17"/>
        <v>1.8871574626328862E-2</v>
      </c>
      <c r="BH29" s="117">
        <f t="shared" si="18"/>
        <v>6.1943381790359594E-4</v>
      </c>
      <c r="BI29" s="118">
        <f t="shared" si="19"/>
        <v>2.6865194238630905E-2</v>
      </c>
      <c r="BJ29" s="117">
        <f t="shared" si="20"/>
        <v>6.1943381790359594E-4</v>
      </c>
      <c r="BK29" s="118">
        <f t="shared" si="21"/>
        <v>2.6865194238630905E-2</v>
      </c>
      <c r="BL29" s="91">
        <f t="shared" si="22"/>
        <v>0</v>
      </c>
      <c r="BM29" s="93">
        <f t="shared" si="23"/>
        <v>0</v>
      </c>
      <c r="BN29" s="91">
        <f t="shared" si="24"/>
        <v>0</v>
      </c>
      <c r="BO29" s="93">
        <f t="shared" si="25"/>
        <v>0</v>
      </c>
      <c r="BP29" s="91">
        <f t="shared" si="26"/>
        <v>0</v>
      </c>
      <c r="BQ29" s="93">
        <f t="shared" si="27"/>
        <v>0</v>
      </c>
      <c r="BR29" s="91">
        <f t="shared" si="28"/>
        <v>0</v>
      </c>
      <c r="BS29" s="93">
        <f t="shared" si="29"/>
        <v>0</v>
      </c>
      <c r="BT29" s="188">
        <f t="shared" si="30"/>
        <v>4.7302218821729144E-5</v>
      </c>
      <c r="BU29" s="93">
        <f t="shared" si="31"/>
        <v>3.4650633806579114E-3</v>
      </c>
      <c r="BV29" s="117">
        <f t="shared" si="85"/>
        <v>7.9139764346816618E-2</v>
      </c>
      <c r="BW29" s="206">
        <f t="shared" si="86"/>
        <v>7.9139764346816618E-2</v>
      </c>
      <c r="BX29" s="206">
        <f t="shared" si="87"/>
        <v>7.9139764346816618E-2</v>
      </c>
      <c r="BY29" s="97">
        <f t="shared" si="88"/>
        <v>0.37132560117658925</v>
      </c>
      <c r="BZ29" s="123">
        <f t="shared" si="89"/>
        <v>0.36096785164061429</v>
      </c>
      <c r="CA29" s="91">
        <f t="shared" si="90"/>
        <v>3.8302383639410415E-3</v>
      </c>
      <c r="CB29" s="92">
        <f t="shared" si="32"/>
        <v>2.5000000000000001E-3</v>
      </c>
      <c r="CC29" s="92">
        <f t="shared" si="33"/>
        <v>2.5000000000000001E-3</v>
      </c>
      <c r="CD29" s="92">
        <f t="shared" si="34"/>
        <v>0</v>
      </c>
      <c r="CE29" s="92">
        <f t="shared" si="35"/>
        <v>0</v>
      </c>
      <c r="CF29" s="92">
        <f t="shared" si="36"/>
        <v>0</v>
      </c>
      <c r="CG29" s="92">
        <f t="shared" si="37"/>
        <v>0</v>
      </c>
      <c r="CH29" s="92">
        <f t="shared" si="38"/>
        <v>1.0000000000000002E-4</v>
      </c>
      <c r="CI29" s="127">
        <f t="shared" si="91"/>
        <v>8.9302383639410406E-3</v>
      </c>
      <c r="CJ29" s="91">
        <f t="shared" si="92"/>
        <v>2.7358845456721721E-4</v>
      </c>
      <c r="CK29" s="92">
        <f t="shared" si="39"/>
        <v>0.03</v>
      </c>
      <c r="CL29" s="92">
        <f t="shared" si="40"/>
        <v>0.11549999999999999</v>
      </c>
      <c r="CM29" s="127">
        <f t="shared" si="93"/>
        <v>0.1457735884545672</v>
      </c>
      <c r="CN29" s="91">
        <f t="shared" si="41"/>
        <v>0.15</v>
      </c>
      <c r="CO29" s="92">
        <f t="shared" si="42"/>
        <v>0.15</v>
      </c>
      <c r="CP29" s="92">
        <f t="shared" si="43"/>
        <v>0</v>
      </c>
      <c r="CQ29" s="92">
        <f t="shared" si="44"/>
        <v>0</v>
      </c>
      <c r="CR29" s="92">
        <f t="shared" si="45"/>
        <v>0</v>
      </c>
      <c r="CS29" s="92">
        <f t="shared" si="46"/>
        <v>0</v>
      </c>
      <c r="CT29" s="92">
        <f t="shared" si="47"/>
        <v>0.03</v>
      </c>
      <c r="CU29" s="127">
        <f t="shared" si="48"/>
        <v>0.32999999999999996</v>
      </c>
      <c r="CV29" s="231">
        <f t="shared" si="49"/>
        <v>0.72834121225771187</v>
      </c>
      <c r="CW29" s="188">
        <f t="shared" si="50"/>
        <v>1.2130450390762202</v>
      </c>
      <c r="CX29" s="206">
        <f t="shared" si="51"/>
        <v>7.2130450390762206</v>
      </c>
      <c r="CY29" s="231">
        <f t="shared" si="52"/>
        <v>0.83182622144952301</v>
      </c>
      <c r="CZ29">
        <f t="shared" si="53"/>
        <v>36.988964346349746</v>
      </c>
      <c r="DA29">
        <f t="shared" si="54"/>
        <v>654.16021323437087</v>
      </c>
      <c r="DD29" s="22">
        <v>800</v>
      </c>
      <c r="DE29" s="22">
        <f t="shared" si="94"/>
        <v>5026.5482457436692</v>
      </c>
      <c r="DF29" s="91">
        <f t="shared" si="95"/>
        <v>26.714654183993076</v>
      </c>
      <c r="DG29" s="93">
        <f t="shared" si="96"/>
        <v>-26.62901012161975</v>
      </c>
      <c r="DH29" s="91">
        <f t="shared" si="97"/>
        <v>-21.859369947840548</v>
      </c>
      <c r="DI29" s="92">
        <f t="shared" si="98"/>
        <v>139.25623986781264</v>
      </c>
      <c r="DJ29" s="92">
        <f t="shared" si="99"/>
        <v>-24.035040693139663</v>
      </c>
      <c r="DK29" s="93">
        <f t="shared" si="100"/>
        <v>139.4263761911084</v>
      </c>
      <c r="DL29" s="91">
        <f t="shared" si="101"/>
        <v>4.8552842361525279</v>
      </c>
      <c r="DM29" s="92">
        <f t="shared" si="102"/>
        <v>112.62722974619288</v>
      </c>
      <c r="DN29" s="92">
        <f t="shared" si="103"/>
        <v>2.6796134908534128</v>
      </c>
      <c r="DO29" s="93">
        <f t="shared" si="104"/>
        <v>112.79736606948865</v>
      </c>
    </row>
    <row r="30" spans="1:119" x14ac:dyDescent="0.25">
      <c r="A30" s="113" t="s">
        <v>321</v>
      </c>
      <c r="B30" s="113"/>
      <c r="K30" s="58">
        <v>26</v>
      </c>
      <c r="L30" s="131">
        <f t="shared" si="55"/>
        <v>29.28</v>
      </c>
      <c r="M30" s="130">
        <f t="shared" si="56"/>
        <v>0.22768670309653916</v>
      </c>
      <c r="N30" s="132">
        <f t="shared" si="0"/>
        <v>0.11223822899696026</v>
      </c>
      <c r="O30" s="52">
        <f t="shared" si="57"/>
        <v>7.9364412832119188E-2</v>
      </c>
      <c r="P30" s="21">
        <f t="shared" si="58"/>
        <v>2.0286020648339487</v>
      </c>
      <c r="Q30" s="19">
        <f t="shared" si="59"/>
        <v>4.0572041296678973</v>
      </c>
      <c r="R30" s="6">
        <f t="shared" si="1"/>
        <v>2.5345290214390777</v>
      </c>
      <c r="S30" s="55">
        <f t="shared" si="60"/>
        <v>0.78475959464188649</v>
      </c>
      <c r="T30" s="133">
        <f t="shared" si="61"/>
        <v>0.7510035862867277</v>
      </c>
      <c r="U30" s="54">
        <f t="shared" si="2"/>
        <v>0.23706792697452767</v>
      </c>
      <c r="V30" s="21">
        <f t="shared" si="62"/>
        <v>4.2182002971133556</v>
      </c>
      <c r="W30" s="21">
        <f t="shared" si="63"/>
        <v>1.185776861683703</v>
      </c>
      <c r="X30" s="63">
        <f t="shared" si="64"/>
        <v>1.0752054527877226</v>
      </c>
      <c r="Y30" s="54">
        <f t="shared" si="3"/>
        <v>0.23706792697452767</v>
      </c>
      <c r="Z30" s="21">
        <f t="shared" si="4"/>
        <v>4.2182002971133556</v>
      </c>
      <c r="AA30" s="21">
        <f t="shared" si="65"/>
        <v>1.185776861683703</v>
      </c>
      <c r="AB30" s="63">
        <f t="shared" si="66"/>
        <v>1.0752054527877226</v>
      </c>
      <c r="AC30" s="52">
        <f t="shared" si="5"/>
        <v>0</v>
      </c>
      <c r="AD30" s="21">
        <f t="shared" si="6"/>
        <v>0</v>
      </c>
      <c r="AE30" s="21">
        <f t="shared" si="67"/>
        <v>0</v>
      </c>
      <c r="AF30" s="63">
        <f t="shared" si="68"/>
        <v>0</v>
      </c>
      <c r="AG30" s="52">
        <f t="shared" si="7"/>
        <v>0</v>
      </c>
      <c r="AH30" s="21">
        <f t="shared" si="8"/>
        <v>0</v>
      </c>
      <c r="AI30" s="21">
        <f t="shared" si="69"/>
        <v>0</v>
      </c>
      <c r="AJ30" s="63">
        <f t="shared" si="70"/>
        <v>0</v>
      </c>
      <c r="AK30" s="52">
        <f t="shared" si="9"/>
        <v>0</v>
      </c>
      <c r="AL30" s="21">
        <f t="shared" si="10"/>
        <v>0</v>
      </c>
      <c r="AM30" s="21">
        <f t="shared" si="71"/>
        <v>0</v>
      </c>
      <c r="AN30" s="63">
        <f t="shared" si="72"/>
        <v>0</v>
      </c>
      <c r="AO30" s="52">
        <f t="shared" si="73"/>
        <v>0</v>
      </c>
      <c r="AP30" s="21">
        <f t="shared" si="11"/>
        <v>0</v>
      </c>
      <c r="AQ30" s="21">
        <f t="shared" si="74"/>
        <v>0</v>
      </c>
      <c r="AR30" s="181">
        <f t="shared" si="75"/>
        <v>0</v>
      </c>
      <c r="AS30" s="52">
        <f t="shared" si="12"/>
        <v>0.15133499330954489</v>
      </c>
      <c r="AT30" s="21">
        <f t="shared" si="13"/>
        <v>1.3215714067592701</v>
      </c>
      <c r="AU30" s="21">
        <f t="shared" si="14"/>
        <v>0.2968244606676107</v>
      </c>
      <c r="AV30" s="63">
        <f t="shared" si="15"/>
        <v>0.2794722892356557</v>
      </c>
      <c r="AW30" s="182">
        <f t="shared" si="76"/>
        <v>9.2209184765179461E-2</v>
      </c>
      <c r="AX30" s="52">
        <f t="shared" si="77"/>
        <v>0</v>
      </c>
      <c r="AY30" s="74">
        <f t="shared" si="78"/>
        <v>0</v>
      </c>
      <c r="AZ30" s="78">
        <f t="shared" si="79"/>
        <v>0</v>
      </c>
      <c r="BA30" s="87">
        <f t="shared" si="80"/>
        <v>0</v>
      </c>
      <c r="BB30" s="110">
        <f t="shared" si="81"/>
        <v>389.58111577303015</v>
      </c>
      <c r="BC30" s="69">
        <f t="shared" si="82"/>
        <v>0.29218583682977262</v>
      </c>
      <c r="BD30" s="42">
        <f t="shared" si="83"/>
        <v>375.77078305839683</v>
      </c>
      <c r="BE30" s="79">
        <f t="shared" si="84"/>
        <v>0.28182808729379766</v>
      </c>
      <c r="BF30" s="117">
        <f t="shared" si="16"/>
        <v>1.6926498538332453E-3</v>
      </c>
      <c r="BG30" s="118">
        <f t="shared" si="17"/>
        <v>1.8415173406980883E-2</v>
      </c>
      <c r="BH30" s="117">
        <f t="shared" si="18"/>
        <v>6.1943381790359594E-4</v>
      </c>
      <c r="BI30" s="118">
        <f t="shared" si="19"/>
        <v>2.6865194238630905E-2</v>
      </c>
      <c r="BJ30" s="117">
        <f t="shared" si="20"/>
        <v>6.1943381790359594E-4</v>
      </c>
      <c r="BK30" s="118">
        <f t="shared" si="21"/>
        <v>2.6865194238630905E-2</v>
      </c>
      <c r="BL30" s="91">
        <f t="shared" si="22"/>
        <v>0</v>
      </c>
      <c r="BM30" s="93">
        <f t="shared" si="23"/>
        <v>0</v>
      </c>
      <c r="BN30" s="91">
        <f t="shared" si="24"/>
        <v>0</v>
      </c>
      <c r="BO30" s="93">
        <f t="shared" si="25"/>
        <v>0</v>
      </c>
      <c r="BP30" s="91">
        <f t="shared" si="26"/>
        <v>0</v>
      </c>
      <c r="BQ30" s="93">
        <f t="shared" si="27"/>
        <v>0</v>
      </c>
      <c r="BR30" s="91">
        <f t="shared" si="28"/>
        <v>0</v>
      </c>
      <c r="BS30" s="93">
        <f t="shared" si="29"/>
        <v>0</v>
      </c>
      <c r="BT30" s="188">
        <f t="shared" si="30"/>
        <v>4.7302218821729144E-5</v>
      </c>
      <c r="BU30" s="93">
        <f t="shared" si="31"/>
        <v>3.4650633806579114E-3</v>
      </c>
      <c r="BV30" s="117">
        <f t="shared" si="85"/>
        <v>7.858944497336276E-2</v>
      </c>
      <c r="BW30" s="206">
        <f t="shared" si="86"/>
        <v>7.858944497336276E-2</v>
      </c>
      <c r="BX30" s="206">
        <f t="shared" si="87"/>
        <v>7.858944497336276E-2</v>
      </c>
      <c r="BY30" s="97">
        <f t="shared" si="88"/>
        <v>0.37077528180313535</v>
      </c>
      <c r="BZ30" s="123">
        <f t="shared" si="89"/>
        <v>0.36041753226716045</v>
      </c>
      <c r="CA30" s="91">
        <f t="shared" si="90"/>
        <v>3.6288864336880109E-3</v>
      </c>
      <c r="CB30" s="92">
        <f t="shared" si="32"/>
        <v>2.5000000000000001E-3</v>
      </c>
      <c r="CC30" s="92">
        <f t="shared" si="33"/>
        <v>2.5000000000000001E-3</v>
      </c>
      <c r="CD30" s="92">
        <f t="shared" si="34"/>
        <v>0</v>
      </c>
      <c r="CE30" s="92">
        <f t="shared" si="35"/>
        <v>0</v>
      </c>
      <c r="CF30" s="92">
        <f t="shared" si="36"/>
        <v>0</v>
      </c>
      <c r="CG30" s="92">
        <f t="shared" si="37"/>
        <v>0</v>
      </c>
      <c r="CH30" s="92">
        <f t="shared" si="38"/>
        <v>1.0000000000000002E-4</v>
      </c>
      <c r="CI30" s="127">
        <f t="shared" si="91"/>
        <v>8.7288864336880108E-3</v>
      </c>
      <c r="CJ30" s="91">
        <f t="shared" si="92"/>
        <v>2.5920617383485791E-4</v>
      </c>
      <c r="CK30" s="92">
        <f t="shared" si="39"/>
        <v>3.0000000000000002E-2</v>
      </c>
      <c r="CL30" s="92">
        <f t="shared" si="40"/>
        <v>0.11549999999999999</v>
      </c>
      <c r="CM30" s="127">
        <f t="shared" si="93"/>
        <v>0.14575920617383487</v>
      </c>
      <c r="CN30" s="91">
        <f t="shared" si="41"/>
        <v>0.15</v>
      </c>
      <c r="CO30" s="92">
        <f t="shared" si="42"/>
        <v>0.15</v>
      </c>
      <c r="CP30" s="92">
        <f t="shared" si="43"/>
        <v>0</v>
      </c>
      <c r="CQ30" s="92">
        <f t="shared" si="44"/>
        <v>0</v>
      </c>
      <c r="CR30" s="92">
        <f t="shared" si="45"/>
        <v>0</v>
      </c>
      <c r="CS30" s="92">
        <f t="shared" si="46"/>
        <v>0</v>
      </c>
      <c r="CT30" s="92">
        <f t="shared" si="47"/>
        <v>0.03</v>
      </c>
      <c r="CU30" s="127">
        <f t="shared" si="48"/>
        <v>0.32999999999999996</v>
      </c>
      <c r="CV30" s="231">
        <f t="shared" si="49"/>
        <v>0.72748967467543002</v>
      </c>
      <c r="CW30" s="188">
        <f t="shared" si="50"/>
        <v>1.2119777672829528</v>
      </c>
      <c r="CX30" s="206">
        <f t="shared" si="51"/>
        <v>7.2119777672829528</v>
      </c>
      <c r="CY30" s="231">
        <f t="shared" si="52"/>
        <v>0.83194932009065881</v>
      </c>
      <c r="CZ30">
        <f t="shared" si="53"/>
        <v>37.768964346349748</v>
      </c>
      <c r="DA30">
        <f t="shared" si="54"/>
        <v>654.94021323437084</v>
      </c>
      <c r="DD30" s="22">
        <v>900</v>
      </c>
      <c r="DE30" s="22">
        <f t="shared" si="94"/>
        <v>5654.8667764616275</v>
      </c>
      <c r="DF30" s="91">
        <f t="shared" si="95"/>
        <v>26.487994364549937</v>
      </c>
      <c r="DG30" s="93">
        <f t="shared" si="96"/>
        <v>-29.422780985141472</v>
      </c>
      <c r="DH30" s="91">
        <f t="shared" si="97"/>
        <v>-22.248374470942668</v>
      </c>
      <c r="DI30" s="92">
        <f t="shared" si="98"/>
        <v>142.39790945973417</v>
      </c>
      <c r="DJ30" s="92">
        <f t="shared" si="99"/>
        <v>-24.423394012513096</v>
      </c>
      <c r="DK30" s="93">
        <f t="shared" si="100"/>
        <v>142.58432718880744</v>
      </c>
      <c r="DL30" s="91">
        <f t="shared" si="101"/>
        <v>4.2396198936072693</v>
      </c>
      <c r="DM30" s="92">
        <f t="shared" si="102"/>
        <v>112.97512847459269</v>
      </c>
      <c r="DN30" s="92">
        <f t="shared" si="103"/>
        <v>2.064600352036841</v>
      </c>
      <c r="DO30" s="93">
        <f t="shared" si="104"/>
        <v>113.16154620366596</v>
      </c>
    </row>
    <row r="31" spans="1:119" x14ac:dyDescent="0.25">
      <c r="A31" t="s">
        <v>280</v>
      </c>
      <c r="B31" s="8">
        <f>MAX(R4:R54)</f>
        <v>3.1652402300629197</v>
      </c>
      <c r="C31" s="12" t="s">
        <v>6</v>
      </c>
      <c r="K31" s="58">
        <v>27</v>
      </c>
      <c r="L31" s="131">
        <f t="shared" si="55"/>
        <v>30.060000000000002</v>
      </c>
      <c r="M31" s="130">
        <f t="shared" si="56"/>
        <v>0.2217786648924373</v>
      </c>
      <c r="N31" s="132">
        <f t="shared" si="0"/>
        <v>0.10932585978147027</v>
      </c>
      <c r="O31" s="52">
        <f t="shared" si="57"/>
        <v>7.7305056810527281E-2</v>
      </c>
      <c r="P31" s="21">
        <f t="shared" si="58"/>
        <v>2.0286020648339482</v>
      </c>
      <c r="Q31" s="19">
        <f t="shared" si="59"/>
        <v>4.0572041296678973</v>
      </c>
      <c r="R31" s="6">
        <f t="shared" si="1"/>
        <v>2.5242805909404544</v>
      </c>
      <c r="S31" s="55">
        <f t="shared" si="60"/>
        <v>0.77451116414326338</v>
      </c>
      <c r="T31" s="133">
        <f t="shared" si="61"/>
        <v>0.7420793536954664</v>
      </c>
      <c r="U31" s="54">
        <f t="shared" si="2"/>
        <v>0.23706792697452767</v>
      </c>
      <c r="V31" s="21">
        <f t="shared" si="62"/>
        <v>4.2182002971133556</v>
      </c>
      <c r="W31" s="21">
        <f t="shared" si="63"/>
        <v>1.185776861683703</v>
      </c>
      <c r="X31" s="63">
        <f t="shared" si="64"/>
        <v>1.0752054527877226</v>
      </c>
      <c r="Y31" s="54">
        <f t="shared" si="3"/>
        <v>0.23706792697452767</v>
      </c>
      <c r="Z31" s="21">
        <f t="shared" si="4"/>
        <v>4.2182002971133556</v>
      </c>
      <c r="AA31" s="21">
        <f t="shared" si="65"/>
        <v>1.185776861683703</v>
      </c>
      <c r="AB31" s="63">
        <f t="shared" si="66"/>
        <v>1.0752054527877226</v>
      </c>
      <c r="AC31" s="52">
        <f t="shared" si="5"/>
        <v>0</v>
      </c>
      <c r="AD31" s="21">
        <f t="shared" si="6"/>
        <v>0</v>
      </c>
      <c r="AE31" s="21">
        <f t="shared" si="67"/>
        <v>0</v>
      </c>
      <c r="AF31" s="63">
        <f t="shared" si="68"/>
        <v>0</v>
      </c>
      <c r="AG31" s="52">
        <f t="shared" si="7"/>
        <v>0</v>
      </c>
      <c r="AH31" s="21">
        <f t="shared" si="8"/>
        <v>0</v>
      </c>
      <c r="AI31" s="21">
        <f t="shared" si="69"/>
        <v>0</v>
      </c>
      <c r="AJ31" s="63">
        <f t="shared" si="70"/>
        <v>0</v>
      </c>
      <c r="AK31" s="52">
        <f t="shared" si="9"/>
        <v>0</v>
      </c>
      <c r="AL31" s="21">
        <f t="shared" si="10"/>
        <v>0</v>
      </c>
      <c r="AM31" s="21">
        <f t="shared" si="71"/>
        <v>0</v>
      </c>
      <c r="AN31" s="63">
        <f t="shared" si="72"/>
        <v>0</v>
      </c>
      <c r="AO31" s="52">
        <f t="shared" si="73"/>
        <v>0</v>
      </c>
      <c r="AP31" s="21">
        <f t="shared" si="11"/>
        <v>0</v>
      </c>
      <c r="AQ31" s="21">
        <f t="shared" si="74"/>
        <v>0</v>
      </c>
      <c r="AR31" s="181">
        <f t="shared" si="75"/>
        <v>0</v>
      </c>
      <c r="AS31" s="52">
        <f t="shared" si="12"/>
        <v>0.15133499330954489</v>
      </c>
      <c r="AT31" s="21">
        <f t="shared" si="13"/>
        <v>1.3215714067592701</v>
      </c>
      <c r="AU31" s="21">
        <f t="shared" si="14"/>
        <v>0.2968244606676107</v>
      </c>
      <c r="AV31" s="63">
        <f t="shared" si="15"/>
        <v>0.2794722892356557</v>
      </c>
      <c r="AW31" s="182">
        <f t="shared" si="76"/>
        <v>9.2209184765179461E-2</v>
      </c>
      <c r="AX31" s="52">
        <f t="shared" si="77"/>
        <v>0</v>
      </c>
      <c r="AY31" s="74">
        <f t="shared" si="78"/>
        <v>0</v>
      </c>
      <c r="AZ31" s="78">
        <f t="shared" si="79"/>
        <v>0</v>
      </c>
      <c r="BA31" s="87">
        <f t="shared" si="80"/>
        <v>0</v>
      </c>
      <c r="BB31" s="110">
        <f t="shared" si="81"/>
        <v>389.58111577303015</v>
      </c>
      <c r="BC31" s="69">
        <f t="shared" si="82"/>
        <v>0.29218583682977262</v>
      </c>
      <c r="BD31" s="42">
        <f t="shared" si="83"/>
        <v>375.77078305839683</v>
      </c>
      <c r="BE31" s="79">
        <f t="shared" si="84"/>
        <v>0.28182808729379766</v>
      </c>
      <c r="BF31" s="117">
        <f t="shared" si="16"/>
        <v>1.60594741372052E-3</v>
      </c>
      <c r="BG31" s="118">
        <f t="shared" si="17"/>
        <v>1.7980115962082464E-2</v>
      </c>
      <c r="BH31" s="117">
        <f t="shared" si="18"/>
        <v>6.1943381790359594E-4</v>
      </c>
      <c r="BI31" s="118">
        <f t="shared" si="19"/>
        <v>2.6865194238630905E-2</v>
      </c>
      <c r="BJ31" s="117">
        <f t="shared" si="20"/>
        <v>6.1943381790359594E-4</v>
      </c>
      <c r="BK31" s="118">
        <f t="shared" si="21"/>
        <v>2.6865194238630905E-2</v>
      </c>
      <c r="BL31" s="91">
        <f t="shared" si="22"/>
        <v>0</v>
      </c>
      <c r="BM31" s="93">
        <f t="shared" si="23"/>
        <v>0</v>
      </c>
      <c r="BN31" s="91">
        <f t="shared" si="24"/>
        <v>0</v>
      </c>
      <c r="BO31" s="93">
        <f t="shared" si="25"/>
        <v>0</v>
      </c>
      <c r="BP31" s="91">
        <f t="shared" si="26"/>
        <v>0</v>
      </c>
      <c r="BQ31" s="93">
        <f t="shared" si="27"/>
        <v>0</v>
      </c>
      <c r="BR31" s="91">
        <f t="shared" si="28"/>
        <v>0</v>
      </c>
      <c r="BS31" s="93">
        <f t="shared" si="29"/>
        <v>0</v>
      </c>
      <c r="BT31" s="188">
        <f t="shared" si="30"/>
        <v>4.7302218821729144E-5</v>
      </c>
      <c r="BU31" s="93">
        <f t="shared" si="31"/>
        <v>3.4650633806579114E-3</v>
      </c>
      <c r="BV31" s="117">
        <f t="shared" si="85"/>
        <v>7.8067685088351615E-2</v>
      </c>
      <c r="BW31" s="206">
        <f t="shared" si="86"/>
        <v>7.8067685088351615E-2</v>
      </c>
      <c r="BX31" s="206">
        <f t="shared" si="87"/>
        <v>7.8067685088351615E-2</v>
      </c>
      <c r="BY31" s="97">
        <f t="shared" si="88"/>
        <v>0.37025352191812422</v>
      </c>
      <c r="BZ31" s="123">
        <f t="shared" si="89"/>
        <v>0.35989577238214926</v>
      </c>
      <c r="CA31" s="91">
        <f t="shared" si="90"/>
        <v>3.4430043341030407E-3</v>
      </c>
      <c r="CB31" s="92">
        <f t="shared" si="32"/>
        <v>2.5000000000000001E-3</v>
      </c>
      <c r="CC31" s="92">
        <f t="shared" si="33"/>
        <v>2.5000000000000001E-3</v>
      </c>
      <c r="CD31" s="92">
        <f t="shared" si="34"/>
        <v>0</v>
      </c>
      <c r="CE31" s="92">
        <f t="shared" si="35"/>
        <v>0</v>
      </c>
      <c r="CF31" s="92">
        <f t="shared" si="36"/>
        <v>0</v>
      </c>
      <c r="CG31" s="92">
        <f t="shared" si="37"/>
        <v>0</v>
      </c>
      <c r="CH31" s="92">
        <f t="shared" si="38"/>
        <v>1.0000000000000002E-4</v>
      </c>
      <c r="CI31" s="127">
        <f t="shared" si="91"/>
        <v>8.5430043341030402E-3</v>
      </c>
      <c r="CJ31" s="91">
        <f t="shared" si="92"/>
        <v>2.4592888100736002E-4</v>
      </c>
      <c r="CK31" s="92">
        <f t="shared" si="39"/>
        <v>0.03</v>
      </c>
      <c r="CL31" s="92">
        <f t="shared" si="40"/>
        <v>0.11549999999999999</v>
      </c>
      <c r="CM31" s="127">
        <f t="shared" si="93"/>
        <v>0.14574592888100735</v>
      </c>
      <c r="CN31" s="91">
        <f t="shared" si="41"/>
        <v>0.15</v>
      </c>
      <c r="CO31" s="92">
        <f t="shared" si="42"/>
        <v>0.15</v>
      </c>
      <c r="CP31" s="92">
        <f t="shared" si="43"/>
        <v>0</v>
      </c>
      <c r="CQ31" s="92">
        <f t="shared" si="44"/>
        <v>0</v>
      </c>
      <c r="CR31" s="92">
        <f t="shared" si="45"/>
        <v>0</v>
      </c>
      <c r="CS31" s="92">
        <f t="shared" si="46"/>
        <v>0</v>
      </c>
      <c r="CT31" s="92">
        <f t="shared" si="47"/>
        <v>0.03</v>
      </c>
      <c r="CU31" s="127">
        <f t="shared" si="48"/>
        <v>0.32999999999999996</v>
      </c>
      <c r="CV31" s="231">
        <f t="shared" si="49"/>
        <v>0.72662119949057458</v>
      </c>
      <c r="CW31" s="188">
        <f t="shared" si="50"/>
        <v>1.2109101327056848</v>
      </c>
      <c r="CX31" s="206">
        <f t="shared" si="51"/>
        <v>7.2109101327056848</v>
      </c>
      <c r="CY31" s="231">
        <f t="shared" si="52"/>
        <v>0.83207249703286401</v>
      </c>
      <c r="CZ31">
        <f t="shared" si="53"/>
        <v>38.548964346349749</v>
      </c>
      <c r="DA31">
        <f t="shared" si="54"/>
        <v>655.72021323437093</v>
      </c>
      <c r="DD31" s="22">
        <v>1000</v>
      </c>
      <c r="DE31" s="22">
        <f t="shared" si="94"/>
        <v>6283.1853071795858</v>
      </c>
      <c r="DF31" s="91">
        <f t="shared" si="95"/>
        <v>26.247925126518076</v>
      </c>
      <c r="DG31" s="93">
        <f t="shared" si="96"/>
        <v>-32.06990767324131</v>
      </c>
      <c r="DH31" s="91">
        <f t="shared" si="97"/>
        <v>-22.549793256826764</v>
      </c>
      <c r="DI31" s="92">
        <f t="shared" si="98"/>
        <v>145.10089718209025</v>
      </c>
      <c r="DJ31" s="92">
        <f t="shared" si="99"/>
        <v>-24.724240284993545</v>
      </c>
      <c r="DK31" s="93">
        <f t="shared" si="100"/>
        <v>145.30338043508203</v>
      </c>
      <c r="DL31" s="91">
        <f t="shared" si="101"/>
        <v>3.6981318696913128</v>
      </c>
      <c r="DM31" s="92">
        <f t="shared" si="102"/>
        <v>113.03098950884893</v>
      </c>
      <c r="DN31" s="92">
        <f t="shared" si="103"/>
        <v>1.5236848415245312</v>
      </c>
      <c r="DO31" s="93">
        <f t="shared" si="104"/>
        <v>113.23347276184072</v>
      </c>
    </row>
    <row r="32" spans="1:119" x14ac:dyDescent="0.25">
      <c r="A32" t="s">
        <v>299</v>
      </c>
      <c r="B32" s="8">
        <f>VLOOKUP(ILrms_Total_Max_FB_DCM,R4:AV54,3,FALSE)</f>
        <v>1.2061760857787662</v>
      </c>
      <c r="C32" s="12" t="s">
        <v>6</v>
      </c>
      <c r="K32" s="58">
        <v>28</v>
      </c>
      <c r="L32" s="131">
        <f t="shared" si="55"/>
        <v>30.84</v>
      </c>
      <c r="M32" s="130">
        <f t="shared" si="56"/>
        <v>0.21616947686986596</v>
      </c>
      <c r="N32" s="132">
        <f t="shared" si="0"/>
        <v>0.10656080885314514</v>
      </c>
      <c r="O32" s="52">
        <f t="shared" si="57"/>
        <v>7.5349870548782422E-2</v>
      </c>
      <c r="P32" s="21">
        <f t="shared" si="58"/>
        <v>2.0286020648339487</v>
      </c>
      <c r="Q32" s="19">
        <f t="shared" si="59"/>
        <v>4.0572041296678973</v>
      </c>
      <c r="R32" s="6">
        <f t="shared" si="1"/>
        <v>2.5144234637160969</v>
      </c>
      <c r="S32" s="55">
        <f t="shared" si="60"/>
        <v>0.76465403691890577</v>
      </c>
      <c r="T32" s="133">
        <f t="shared" si="61"/>
        <v>0.73346203272302224</v>
      </c>
      <c r="U32" s="54">
        <f t="shared" si="2"/>
        <v>0.23706792697452767</v>
      </c>
      <c r="V32" s="21">
        <f t="shared" si="62"/>
        <v>4.2182002971133556</v>
      </c>
      <c r="W32" s="21">
        <f t="shared" si="63"/>
        <v>1.185776861683703</v>
      </c>
      <c r="X32" s="63">
        <f t="shared" si="64"/>
        <v>1.0752054527877226</v>
      </c>
      <c r="Y32" s="54">
        <f t="shared" si="3"/>
        <v>0.23706792697452767</v>
      </c>
      <c r="Z32" s="21">
        <f t="shared" si="4"/>
        <v>4.2182002971133556</v>
      </c>
      <c r="AA32" s="21">
        <f t="shared" si="65"/>
        <v>1.185776861683703</v>
      </c>
      <c r="AB32" s="63">
        <f t="shared" si="66"/>
        <v>1.0752054527877226</v>
      </c>
      <c r="AC32" s="52">
        <f t="shared" si="5"/>
        <v>0</v>
      </c>
      <c r="AD32" s="21">
        <f t="shared" si="6"/>
        <v>0</v>
      </c>
      <c r="AE32" s="21">
        <f t="shared" si="67"/>
        <v>0</v>
      </c>
      <c r="AF32" s="63">
        <f t="shared" si="68"/>
        <v>0</v>
      </c>
      <c r="AG32" s="52">
        <f t="shared" si="7"/>
        <v>0</v>
      </c>
      <c r="AH32" s="21">
        <f t="shared" si="8"/>
        <v>0</v>
      </c>
      <c r="AI32" s="21">
        <f t="shared" si="69"/>
        <v>0</v>
      </c>
      <c r="AJ32" s="63">
        <f t="shared" si="70"/>
        <v>0</v>
      </c>
      <c r="AK32" s="52">
        <f t="shared" si="9"/>
        <v>0</v>
      </c>
      <c r="AL32" s="21">
        <f t="shared" si="10"/>
        <v>0</v>
      </c>
      <c r="AM32" s="21">
        <f t="shared" si="71"/>
        <v>0</v>
      </c>
      <c r="AN32" s="63">
        <f t="shared" si="72"/>
        <v>0</v>
      </c>
      <c r="AO32" s="52">
        <f t="shared" si="73"/>
        <v>0</v>
      </c>
      <c r="AP32" s="21">
        <f t="shared" si="11"/>
        <v>0</v>
      </c>
      <c r="AQ32" s="21">
        <f t="shared" si="74"/>
        <v>0</v>
      </c>
      <c r="AR32" s="181">
        <f t="shared" si="75"/>
        <v>0</v>
      </c>
      <c r="AS32" s="52">
        <f t="shared" si="12"/>
        <v>0.15133499330954489</v>
      </c>
      <c r="AT32" s="21">
        <f t="shared" si="13"/>
        <v>1.3215714067592701</v>
      </c>
      <c r="AU32" s="21">
        <f t="shared" si="14"/>
        <v>0.2968244606676107</v>
      </c>
      <c r="AV32" s="63">
        <f t="shared" si="15"/>
        <v>0.2794722892356557</v>
      </c>
      <c r="AW32" s="182">
        <f t="shared" si="76"/>
        <v>9.2209184765179461E-2</v>
      </c>
      <c r="AX32" s="52">
        <f t="shared" si="77"/>
        <v>0</v>
      </c>
      <c r="AY32" s="74">
        <f t="shared" si="78"/>
        <v>0</v>
      </c>
      <c r="AZ32" s="78">
        <f t="shared" si="79"/>
        <v>0</v>
      </c>
      <c r="BA32" s="87">
        <f t="shared" si="80"/>
        <v>0</v>
      </c>
      <c r="BB32" s="110">
        <f t="shared" si="81"/>
        <v>389.58111577303015</v>
      </c>
      <c r="BC32" s="69">
        <f t="shared" si="82"/>
        <v>0.29218583682977262</v>
      </c>
      <c r="BD32" s="42">
        <f t="shared" si="83"/>
        <v>375.77078305839683</v>
      </c>
      <c r="BE32" s="79">
        <f t="shared" si="84"/>
        <v>0.28182808729379766</v>
      </c>
      <c r="BF32" s="117">
        <f t="shared" si="16"/>
        <v>1.5257400066286556E-3</v>
      </c>
      <c r="BG32" s="118">
        <f t="shared" si="17"/>
        <v>1.7564956007529497E-2</v>
      </c>
      <c r="BH32" s="117">
        <f t="shared" si="18"/>
        <v>6.1943381790359594E-4</v>
      </c>
      <c r="BI32" s="118">
        <f t="shared" si="19"/>
        <v>2.6865194238630905E-2</v>
      </c>
      <c r="BJ32" s="117">
        <f t="shared" si="20"/>
        <v>6.1943381790359594E-4</v>
      </c>
      <c r="BK32" s="118">
        <f t="shared" si="21"/>
        <v>2.6865194238630905E-2</v>
      </c>
      <c r="BL32" s="91">
        <f t="shared" si="22"/>
        <v>0</v>
      </c>
      <c r="BM32" s="93">
        <f t="shared" si="23"/>
        <v>0</v>
      </c>
      <c r="BN32" s="91">
        <f t="shared" si="24"/>
        <v>0</v>
      </c>
      <c r="BO32" s="93">
        <f t="shared" si="25"/>
        <v>0</v>
      </c>
      <c r="BP32" s="91">
        <f t="shared" si="26"/>
        <v>0</v>
      </c>
      <c r="BQ32" s="93">
        <f t="shared" si="27"/>
        <v>0</v>
      </c>
      <c r="BR32" s="91">
        <f t="shared" si="28"/>
        <v>0</v>
      </c>
      <c r="BS32" s="93">
        <f t="shared" si="29"/>
        <v>0</v>
      </c>
      <c r="BT32" s="188">
        <f t="shared" si="30"/>
        <v>4.7302218821729144E-5</v>
      </c>
      <c r="BU32" s="93">
        <f t="shared" si="31"/>
        <v>3.4650633806579114E-3</v>
      </c>
      <c r="BV32" s="117">
        <f t="shared" si="85"/>
        <v>7.7572317726706794E-2</v>
      </c>
      <c r="BW32" s="206">
        <f t="shared" si="86"/>
        <v>7.7572317726706794E-2</v>
      </c>
      <c r="BX32" s="206">
        <f t="shared" si="87"/>
        <v>7.7572317726706794E-2</v>
      </c>
      <c r="BY32" s="97">
        <f t="shared" si="88"/>
        <v>0.36975815455647942</v>
      </c>
      <c r="BZ32" s="123">
        <f t="shared" si="89"/>
        <v>0.35940040502050447</v>
      </c>
      <c r="CA32" s="91">
        <f t="shared" si="90"/>
        <v>3.2710469911134063E-3</v>
      </c>
      <c r="CB32" s="92">
        <f t="shared" si="32"/>
        <v>2.5000000000000001E-3</v>
      </c>
      <c r="CC32" s="92">
        <f t="shared" si="33"/>
        <v>2.5000000000000001E-3</v>
      </c>
      <c r="CD32" s="92">
        <f t="shared" si="34"/>
        <v>0</v>
      </c>
      <c r="CE32" s="92">
        <f t="shared" si="35"/>
        <v>0</v>
      </c>
      <c r="CF32" s="92">
        <f t="shared" si="36"/>
        <v>0</v>
      </c>
      <c r="CG32" s="92">
        <f t="shared" si="37"/>
        <v>0</v>
      </c>
      <c r="CH32" s="92">
        <f t="shared" si="38"/>
        <v>1.0000000000000002E-4</v>
      </c>
      <c r="CI32" s="127">
        <f t="shared" si="91"/>
        <v>8.3710469911134067E-3</v>
      </c>
      <c r="CJ32" s="91">
        <f t="shared" si="92"/>
        <v>2.3364621365095758E-4</v>
      </c>
      <c r="CK32" s="92">
        <f t="shared" si="39"/>
        <v>0.03</v>
      </c>
      <c r="CL32" s="92">
        <f t="shared" si="40"/>
        <v>0.11549999999999999</v>
      </c>
      <c r="CM32" s="127">
        <f t="shared" si="93"/>
        <v>0.14573364621365095</v>
      </c>
      <c r="CN32" s="91">
        <f t="shared" si="41"/>
        <v>0.15</v>
      </c>
      <c r="CO32" s="92">
        <f t="shared" si="42"/>
        <v>0.15</v>
      </c>
      <c r="CP32" s="92">
        <f t="shared" si="43"/>
        <v>0</v>
      </c>
      <c r="CQ32" s="92">
        <f t="shared" si="44"/>
        <v>0</v>
      </c>
      <c r="CR32" s="92">
        <f t="shared" si="45"/>
        <v>0</v>
      </c>
      <c r="CS32" s="92">
        <f t="shared" si="46"/>
        <v>0</v>
      </c>
      <c r="CT32" s="92">
        <f t="shared" si="47"/>
        <v>0.03</v>
      </c>
      <c r="CU32" s="127">
        <f t="shared" si="48"/>
        <v>0.32999999999999996</v>
      </c>
      <c r="CV32" s="231">
        <f t="shared" si="49"/>
        <v>0.72573527627792145</v>
      </c>
      <c r="CW32" s="188">
        <f t="shared" si="50"/>
        <v>1.2098399694826858</v>
      </c>
      <c r="CX32" s="206">
        <f t="shared" si="51"/>
        <v>7.2098399694826858</v>
      </c>
      <c r="CY32" s="231">
        <f t="shared" si="52"/>
        <v>0.83219600232409974</v>
      </c>
      <c r="CZ32">
        <f t="shared" si="53"/>
        <v>39.32896434634975</v>
      </c>
      <c r="DA32">
        <f t="shared" si="54"/>
        <v>656.5002132343709</v>
      </c>
      <c r="DD32" s="22">
        <v>2000</v>
      </c>
      <c r="DE32" s="22">
        <f t="shared" si="94"/>
        <v>12566.370614359172</v>
      </c>
      <c r="DF32" s="91">
        <f t="shared" si="95"/>
        <v>23.578272196678117</v>
      </c>
      <c r="DG32" s="93">
        <f t="shared" si="96"/>
        <v>-51.344113049226607</v>
      </c>
      <c r="DH32" s="91">
        <f t="shared" si="97"/>
        <v>-23.688667484746286</v>
      </c>
      <c r="DI32" s="92">
        <f t="shared" si="98"/>
        <v>159.00060826136078</v>
      </c>
      <c r="DJ32" s="92">
        <f t="shared" si="99"/>
        <v>-25.859363079688322</v>
      </c>
      <c r="DK32" s="93">
        <f t="shared" si="100"/>
        <v>159.36390651499292</v>
      </c>
      <c r="DL32" s="91">
        <f t="shared" si="101"/>
        <v>-0.1103952880681689</v>
      </c>
      <c r="DM32" s="92">
        <f t="shared" si="102"/>
        <v>107.65649521213417</v>
      </c>
      <c r="DN32" s="92">
        <f t="shared" si="103"/>
        <v>-2.2810908830102044</v>
      </c>
      <c r="DO32" s="93">
        <f t="shared" si="104"/>
        <v>108.01979346576631</v>
      </c>
    </row>
    <row r="33" spans="1:119" x14ac:dyDescent="0.25">
      <c r="A33" t="s">
        <v>300</v>
      </c>
      <c r="B33" s="8">
        <f>VLOOKUP(ILrms_Total_Max_FB_DCM,R4:AV54,6,FALSE)</f>
        <v>1.185776861683703</v>
      </c>
      <c r="C33" s="12" t="s">
        <v>6</v>
      </c>
      <c r="K33" s="58">
        <v>29</v>
      </c>
      <c r="L33" s="131">
        <f t="shared" si="55"/>
        <v>31.62</v>
      </c>
      <c r="M33" s="130">
        <f t="shared" si="56"/>
        <v>0.21083702298123549</v>
      </c>
      <c r="N33" s="132">
        <f t="shared" si="0"/>
        <v>0.103932174099652</v>
      </c>
      <c r="O33" s="52">
        <f t="shared" si="57"/>
        <v>7.3491145089324791E-2</v>
      </c>
      <c r="P33" s="21">
        <f t="shared" si="58"/>
        <v>2.0286020648339487</v>
      </c>
      <c r="Q33" s="19">
        <f t="shared" si="59"/>
        <v>4.0572041296678973</v>
      </c>
      <c r="R33" s="6">
        <f t="shared" si="1"/>
        <v>2.5049333561645635</v>
      </c>
      <c r="S33" s="55">
        <f t="shared" si="60"/>
        <v>0.75516392936737209</v>
      </c>
      <c r="T33" s="133">
        <f t="shared" si="61"/>
        <v>0.72513468401254899</v>
      </c>
      <c r="U33" s="54">
        <f t="shared" si="2"/>
        <v>0.23706792697452767</v>
      </c>
      <c r="V33" s="21">
        <f t="shared" si="62"/>
        <v>4.2182002971133556</v>
      </c>
      <c r="W33" s="21">
        <f t="shared" si="63"/>
        <v>1.185776861683703</v>
      </c>
      <c r="X33" s="63">
        <f t="shared" si="64"/>
        <v>1.0752054527877226</v>
      </c>
      <c r="Y33" s="54">
        <f t="shared" si="3"/>
        <v>0.23706792697452767</v>
      </c>
      <c r="Z33" s="21">
        <f t="shared" si="4"/>
        <v>4.2182002971133556</v>
      </c>
      <c r="AA33" s="21">
        <f t="shared" si="65"/>
        <v>1.185776861683703</v>
      </c>
      <c r="AB33" s="63">
        <f t="shared" si="66"/>
        <v>1.0752054527877226</v>
      </c>
      <c r="AC33" s="52">
        <f t="shared" si="5"/>
        <v>0</v>
      </c>
      <c r="AD33" s="21">
        <f t="shared" si="6"/>
        <v>0</v>
      </c>
      <c r="AE33" s="21">
        <f t="shared" si="67"/>
        <v>0</v>
      </c>
      <c r="AF33" s="63">
        <f t="shared" si="68"/>
        <v>0</v>
      </c>
      <c r="AG33" s="52">
        <f t="shared" si="7"/>
        <v>0</v>
      </c>
      <c r="AH33" s="21">
        <f t="shared" si="8"/>
        <v>0</v>
      </c>
      <c r="AI33" s="21">
        <f t="shared" si="69"/>
        <v>0</v>
      </c>
      <c r="AJ33" s="63">
        <f t="shared" si="70"/>
        <v>0</v>
      </c>
      <c r="AK33" s="52">
        <f t="shared" si="9"/>
        <v>0</v>
      </c>
      <c r="AL33" s="21">
        <f t="shared" si="10"/>
        <v>0</v>
      </c>
      <c r="AM33" s="21">
        <f t="shared" si="71"/>
        <v>0</v>
      </c>
      <c r="AN33" s="63">
        <f t="shared" si="72"/>
        <v>0</v>
      </c>
      <c r="AO33" s="52">
        <f t="shared" si="73"/>
        <v>0</v>
      </c>
      <c r="AP33" s="21">
        <f t="shared" si="11"/>
        <v>0</v>
      </c>
      <c r="AQ33" s="21">
        <f t="shared" si="74"/>
        <v>0</v>
      </c>
      <c r="AR33" s="181">
        <f t="shared" si="75"/>
        <v>0</v>
      </c>
      <c r="AS33" s="52">
        <f t="shared" si="12"/>
        <v>0.15133499330954489</v>
      </c>
      <c r="AT33" s="21">
        <f t="shared" si="13"/>
        <v>1.3215714067592701</v>
      </c>
      <c r="AU33" s="21">
        <f t="shared" si="14"/>
        <v>0.2968244606676107</v>
      </c>
      <c r="AV33" s="63">
        <f t="shared" si="15"/>
        <v>0.2794722892356557</v>
      </c>
      <c r="AW33" s="182">
        <f t="shared" si="76"/>
        <v>9.2209184765179461E-2</v>
      </c>
      <c r="AX33" s="52">
        <f t="shared" si="77"/>
        <v>0</v>
      </c>
      <c r="AY33" s="74">
        <f t="shared" si="78"/>
        <v>0</v>
      </c>
      <c r="AZ33" s="78">
        <f t="shared" si="79"/>
        <v>0</v>
      </c>
      <c r="BA33" s="87">
        <f t="shared" si="80"/>
        <v>0</v>
      </c>
      <c r="BB33" s="110">
        <f t="shared" si="81"/>
        <v>389.58111577303015</v>
      </c>
      <c r="BC33" s="69">
        <f t="shared" si="82"/>
        <v>0.29218583682977262</v>
      </c>
      <c r="BD33" s="42">
        <f t="shared" si="83"/>
        <v>375.77078305839683</v>
      </c>
      <c r="BE33" s="79">
        <f t="shared" si="84"/>
        <v>0.28182808729379766</v>
      </c>
      <c r="BF33" s="117">
        <f t="shared" si="16"/>
        <v>1.4513947293630276E-3</v>
      </c>
      <c r="BG33" s="118">
        <f t="shared" si="17"/>
        <v>1.7168373299626141E-2</v>
      </c>
      <c r="BH33" s="117">
        <f t="shared" si="18"/>
        <v>6.1943381790359594E-4</v>
      </c>
      <c r="BI33" s="118">
        <f t="shared" si="19"/>
        <v>2.6865194238630905E-2</v>
      </c>
      <c r="BJ33" s="117">
        <f t="shared" si="20"/>
        <v>6.1943381790359594E-4</v>
      </c>
      <c r="BK33" s="118">
        <f t="shared" si="21"/>
        <v>2.6865194238630905E-2</v>
      </c>
      <c r="BL33" s="91">
        <f t="shared" si="22"/>
        <v>0</v>
      </c>
      <c r="BM33" s="93">
        <f t="shared" si="23"/>
        <v>0</v>
      </c>
      <c r="BN33" s="91">
        <f t="shared" si="24"/>
        <v>0</v>
      </c>
      <c r="BO33" s="93">
        <f t="shared" si="25"/>
        <v>0</v>
      </c>
      <c r="BP33" s="91">
        <f t="shared" si="26"/>
        <v>0</v>
      </c>
      <c r="BQ33" s="93">
        <f t="shared" si="27"/>
        <v>0</v>
      </c>
      <c r="BR33" s="91">
        <f t="shared" si="28"/>
        <v>0</v>
      </c>
      <c r="BS33" s="93">
        <f t="shared" si="29"/>
        <v>0</v>
      </c>
      <c r="BT33" s="188">
        <f t="shared" si="30"/>
        <v>4.7302218821729144E-5</v>
      </c>
      <c r="BU33" s="93">
        <f t="shared" si="31"/>
        <v>3.4650633806579114E-3</v>
      </c>
      <c r="BV33" s="117">
        <f t="shared" si="85"/>
        <v>7.7101389741537796E-2</v>
      </c>
      <c r="BW33" s="206">
        <f t="shared" si="86"/>
        <v>7.7101389741537796E-2</v>
      </c>
      <c r="BX33" s="206">
        <f t="shared" si="87"/>
        <v>7.7101389741537796E-2</v>
      </c>
      <c r="BY33" s="97">
        <f t="shared" si="88"/>
        <v>0.36928722657131041</v>
      </c>
      <c r="BZ33" s="123">
        <f t="shared" si="89"/>
        <v>0.35892947703533545</v>
      </c>
      <c r="CA33" s="91">
        <f t="shared" si="90"/>
        <v>3.1116575181713018E-3</v>
      </c>
      <c r="CB33" s="92">
        <f t="shared" si="32"/>
        <v>2.5000000000000001E-3</v>
      </c>
      <c r="CC33" s="92">
        <f t="shared" si="33"/>
        <v>2.5000000000000001E-3</v>
      </c>
      <c r="CD33" s="92">
        <f t="shared" si="34"/>
        <v>0</v>
      </c>
      <c r="CE33" s="92">
        <f t="shared" si="35"/>
        <v>0</v>
      </c>
      <c r="CF33" s="92">
        <f t="shared" si="36"/>
        <v>0</v>
      </c>
      <c r="CG33" s="92">
        <f t="shared" si="37"/>
        <v>0</v>
      </c>
      <c r="CH33" s="92">
        <f t="shared" si="38"/>
        <v>1.0000000000000002E-4</v>
      </c>
      <c r="CI33" s="127">
        <f t="shared" si="91"/>
        <v>8.2116575181713017E-3</v>
      </c>
      <c r="CJ33" s="91">
        <f t="shared" si="92"/>
        <v>2.2226125129795011E-4</v>
      </c>
      <c r="CK33" s="92">
        <f t="shared" si="39"/>
        <v>3.0000000000000002E-2</v>
      </c>
      <c r="CL33" s="92">
        <f t="shared" si="40"/>
        <v>0.11549999999999999</v>
      </c>
      <c r="CM33" s="127">
        <f t="shared" si="93"/>
        <v>0.14572226125129795</v>
      </c>
      <c r="CN33" s="91">
        <f t="shared" si="41"/>
        <v>0.15</v>
      </c>
      <c r="CO33" s="92">
        <f t="shared" si="42"/>
        <v>0.15</v>
      </c>
      <c r="CP33" s="92">
        <f t="shared" si="43"/>
        <v>0</v>
      </c>
      <c r="CQ33" s="92">
        <f t="shared" si="44"/>
        <v>0</v>
      </c>
      <c r="CR33" s="92">
        <f t="shared" si="45"/>
        <v>0</v>
      </c>
      <c r="CS33" s="92">
        <f t="shared" si="46"/>
        <v>0</v>
      </c>
      <c r="CT33" s="92">
        <f t="shared" si="47"/>
        <v>0.03</v>
      </c>
      <c r="CU33" s="127">
        <f t="shared" si="48"/>
        <v>0.32999999999999996</v>
      </c>
      <c r="CV33" s="231">
        <f t="shared" si="49"/>
        <v>0.72483137389482555</v>
      </c>
      <c r="CW33" s="188">
        <f t="shared" si="50"/>
        <v>1.2087652926642947</v>
      </c>
      <c r="CX33" s="206">
        <f t="shared" si="51"/>
        <v>7.2087652926642942</v>
      </c>
      <c r="CY33" s="231">
        <f t="shared" si="52"/>
        <v>0.83232006542169645</v>
      </c>
      <c r="CZ33">
        <f t="shared" si="53"/>
        <v>40.108964346349751</v>
      </c>
      <c r="DA33">
        <f t="shared" si="54"/>
        <v>657.28021323437088</v>
      </c>
      <c r="DD33" s="22">
        <v>3000</v>
      </c>
      <c r="DE33" s="22">
        <f t="shared" si="94"/>
        <v>18849.555921538758</v>
      </c>
      <c r="DF33" s="91">
        <f t="shared" si="95"/>
        <v>21.110018676679854</v>
      </c>
      <c r="DG33" s="93">
        <f t="shared" si="96"/>
        <v>-61.837313777793028</v>
      </c>
      <c r="DH33" s="91">
        <f t="shared" si="97"/>
        <v>-23.946468861264016</v>
      </c>
      <c r="DI33" s="92">
        <f t="shared" si="98"/>
        <v>163.5715677116041</v>
      </c>
      <c r="DJ33" s="92">
        <f t="shared" si="99"/>
        <v>-26.113848445276012</v>
      </c>
      <c r="DK33" s="93">
        <f t="shared" si="100"/>
        <v>164.09961487765287</v>
      </c>
      <c r="DL33" s="91">
        <f t="shared" si="101"/>
        <v>-2.8364501845841623</v>
      </c>
      <c r="DM33" s="92">
        <f t="shared" si="102"/>
        <v>101.73425393381108</v>
      </c>
      <c r="DN33" s="92">
        <f t="shared" si="103"/>
        <v>-5.0038297685961588</v>
      </c>
      <c r="DO33" s="93">
        <f t="shared" si="104"/>
        <v>102.26230109985984</v>
      </c>
    </row>
    <row r="34" spans="1:119" x14ac:dyDescent="0.25">
      <c r="A34" t="s">
        <v>301</v>
      </c>
      <c r="B34" s="8">
        <f>VLOOKUP(ILrms_Total_Max_FB_DCM,R4:AV54,10,FALSE)</f>
        <v>1.185776861683703</v>
      </c>
      <c r="C34" s="12" t="s">
        <v>6</v>
      </c>
      <c r="K34" s="58">
        <v>30</v>
      </c>
      <c r="L34" s="131">
        <f t="shared" si="55"/>
        <v>32.400000000000006</v>
      </c>
      <c r="M34" s="130">
        <f t="shared" si="56"/>
        <v>0.20576131687242796</v>
      </c>
      <c r="N34" s="132">
        <f t="shared" si="0"/>
        <v>0.10143010324169739</v>
      </c>
      <c r="O34" s="52">
        <f t="shared" si="57"/>
        <v>7.172191381865585E-2</v>
      </c>
      <c r="P34" s="21">
        <f t="shared" si="58"/>
        <v>2.0286020648339491</v>
      </c>
      <c r="Q34" s="19">
        <f t="shared" si="59"/>
        <v>4.0572041296678965</v>
      </c>
      <c r="R34" s="6">
        <f t="shared" si="1"/>
        <v>2.495788043428492</v>
      </c>
      <c r="S34" s="55">
        <f t="shared" si="60"/>
        <v>0.74601861663130065</v>
      </c>
      <c r="T34" s="133">
        <f t="shared" si="61"/>
        <v>0.71708162494893413</v>
      </c>
      <c r="U34" s="54">
        <f t="shared" si="2"/>
        <v>0.23706792697452767</v>
      </c>
      <c r="V34" s="21">
        <f t="shared" si="62"/>
        <v>4.2182002971133556</v>
      </c>
      <c r="W34" s="21">
        <f t="shared" si="63"/>
        <v>1.185776861683703</v>
      </c>
      <c r="X34" s="63">
        <f t="shared" si="64"/>
        <v>1.0752054527877226</v>
      </c>
      <c r="Y34" s="54">
        <f t="shared" si="3"/>
        <v>0.23706792697452767</v>
      </c>
      <c r="Z34" s="21">
        <f t="shared" si="4"/>
        <v>4.2182002971133556</v>
      </c>
      <c r="AA34" s="21">
        <f t="shared" si="65"/>
        <v>1.185776861683703</v>
      </c>
      <c r="AB34" s="63">
        <f t="shared" si="66"/>
        <v>1.0752054527877226</v>
      </c>
      <c r="AC34" s="52">
        <f t="shared" si="5"/>
        <v>0</v>
      </c>
      <c r="AD34" s="21">
        <f t="shared" si="6"/>
        <v>0</v>
      </c>
      <c r="AE34" s="21">
        <f t="shared" si="67"/>
        <v>0</v>
      </c>
      <c r="AF34" s="63">
        <f t="shared" si="68"/>
        <v>0</v>
      </c>
      <c r="AG34" s="52">
        <f t="shared" si="7"/>
        <v>0</v>
      </c>
      <c r="AH34" s="21">
        <f t="shared" si="8"/>
        <v>0</v>
      </c>
      <c r="AI34" s="21">
        <f t="shared" si="69"/>
        <v>0</v>
      </c>
      <c r="AJ34" s="63">
        <f t="shared" si="70"/>
        <v>0</v>
      </c>
      <c r="AK34" s="52">
        <f t="shared" si="9"/>
        <v>0</v>
      </c>
      <c r="AL34" s="21">
        <f t="shared" si="10"/>
        <v>0</v>
      </c>
      <c r="AM34" s="21">
        <f t="shared" si="71"/>
        <v>0</v>
      </c>
      <c r="AN34" s="63">
        <f t="shared" si="72"/>
        <v>0</v>
      </c>
      <c r="AO34" s="52">
        <f t="shared" si="73"/>
        <v>0</v>
      </c>
      <c r="AP34" s="21">
        <f t="shared" si="11"/>
        <v>0</v>
      </c>
      <c r="AQ34" s="21">
        <f t="shared" si="74"/>
        <v>0</v>
      </c>
      <c r="AR34" s="181">
        <f t="shared" si="75"/>
        <v>0</v>
      </c>
      <c r="AS34" s="52">
        <f t="shared" si="12"/>
        <v>0.15133499330954489</v>
      </c>
      <c r="AT34" s="21">
        <f t="shared" si="13"/>
        <v>1.3215714067592701</v>
      </c>
      <c r="AU34" s="21">
        <f t="shared" si="14"/>
        <v>0.2968244606676107</v>
      </c>
      <c r="AV34" s="63">
        <f t="shared" si="15"/>
        <v>0.2794722892356557</v>
      </c>
      <c r="AW34" s="182">
        <f t="shared" si="76"/>
        <v>9.2209184765179447E-2</v>
      </c>
      <c r="AX34" s="52">
        <f t="shared" si="77"/>
        <v>0</v>
      </c>
      <c r="AY34" s="74">
        <f t="shared" si="78"/>
        <v>0</v>
      </c>
      <c r="AZ34" s="78">
        <f t="shared" si="79"/>
        <v>0</v>
      </c>
      <c r="BA34" s="87">
        <f t="shared" si="80"/>
        <v>0</v>
      </c>
      <c r="BB34" s="110">
        <f t="shared" si="81"/>
        <v>389.58111577303015</v>
      </c>
      <c r="BC34" s="69">
        <f t="shared" si="82"/>
        <v>0.29218583682977262</v>
      </c>
      <c r="BD34" s="42">
        <f t="shared" si="83"/>
        <v>375.77078305839683</v>
      </c>
      <c r="BE34" s="79">
        <f t="shared" si="84"/>
        <v>0.28182808729379766</v>
      </c>
      <c r="BF34" s="117">
        <f t="shared" si="16"/>
        <v>1.3823539327546786E-3</v>
      </c>
      <c r="BG34" s="118">
        <f t="shared" si="17"/>
        <v>1.6789160421462525E-2</v>
      </c>
      <c r="BH34" s="117">
        <f t="shared" si="18"/>
        <v>6.1943381790359594E-4</v>
      </c>
      <c r="BI34" s="118">
        <f t="shared" si="19"/>
        <v>2.6865194238630905E-2</v>
      </c>
      <c r="BJ34" s="117">
        <f t="shared" si="20"/>
        <v>6.1943381790359594E-4</v>
      </c>
      <c r="BK34" s="118">
        <f t="shared" si="21"/>
        <v>2.6865194238630905E-2</v>
      </c>
      <c r="BL34" s="91">
        <f t="shared" si="22"/>
        <v>0</v>
      </c>
      <c r="BM34" s="93">
        <f t="shared" si="23"/>
        <v>0</v>
      </c>
      <c r="BN34" s="91">
        <f t="shared" si="24"/>
        <v>0</v>
      </c>
      <c r="BO34" s="93">
        <f t="shared" si="25"/>
        <v>0</v>
      </c>
      <c r="BP34" s="91">
        <f t="shared" si="26"/>
        <v>0</v>
      </c>
      <c r="BQ34" s="93">
        <f t="shared" si="27"/>
        <v>0</v>
      </c>
      <c r="BR34" s="91">
        <f t="shared" si="28"/>
        <v>0</v>
      </c>
      <c r="BS34" s="93">
        <f t="shared" si="29"/>
        <v>0</v>
      </c>
      <c r="BT34" s="188">
        <f t="shared" si="30"/>
        <v>4.7302218821729144E-5</v>
      </c>
      <c r="BU34" s="93">
        <f t="shared" si="31"/>
        <v>3.4650633806579114E-3</v>
      </c>
      <c r="BV34" s="117">
        <f t="shared" si="85"/>
        <v>7.665313606676584E-2</v>
      </c>
      <c r="BW34" s="206">
        <f t="shared" si="86"/>
        <v>7.665313606676584E-2</v>
      </c>
      <c r="BX34" s="206">
        <f t="shared" si="87"/>
        <v>7.665313606676584E-2</v>
      </c>
      <c r="BY34" s="97">
        <f t="shared" si="88"/>
        <v>0.36883897289653844</v>
      </c>
      <c r="BZ34" s="123">
        <f t="shared" si="89"/>
        <v>0.35848122336056348</v>
      </c>
      <c r="CA34" s="91">
        <f t="shared" si="90"/>
        <v>2.9636403664752998E-3</v>
      </c>
      <c r="CB34" s="92">
        <f t="shared" si="32"/>
        <v>2.5000000000000001E-3</v>
      </c>
      <c r="CC34" s="92">
        <f t="shared" si="33"/>
        <v>2.5000000000000001E-3</v>
      </c>
      <c r="CD34" s="92">
        <f t="shared" si="34"/>
        <v>0</v>
      </c>
      <c r="CE34" s="92">
        <f t="shared" si="35"/>
        <v>0</v>
      </c>
      <c r="CF34" s="92">
        <f t="shared" si="36"/>
        <v>0</v>
      </c>
      <c r="CG34" s="92">
        <f t="shared" si="37"/>
        <v>0</v>
      </c>
      <c r="CH34" s="92">
        <f t="shared" si="38"/>
        <v>1.0000000000000002E-4</v>
      </c>
      <c r="CI34" s="127">
        <f t="shared" si="91"/>
        <v>8.0636403664753002E-3</v>
      </c>
      <c r="CJ34" s="91">
        <f t="shared" si="92"/>
        <v>2.1168859760537854E-4</v>
      </c>
      <c r="CK34" s="92">
        <f t="shared" si="39"/>
        <v>3.0000000000000002E-2</v>
      </c>
      <c r="CL34" s="92">
        <f t="shared" si="40"/>
        <v>0.11549999999999999</v>
      </c>
      <c r="CM34" s="127">
        <f t="shared" si="93"/>
        <v>0.14571168859760536</v>
      </c>
      <c r="CN34" s="91">
        <f t="shared" si="41"/>
        <v>0.15</v>
      </c>
      <c r="CO34" s="92">
        <f t="shared" si="42"/>
        <v>0.15</v>
      </c>
      <c r="CP34" s="92">
        <f t="shared" si="43"/>
        <v>0</v>
      </c>
      <c r="CQ34" s="92">
        <f t="shared" si="44"/>
        <v>0</v>
      </c>
      <c r="CR34" s="92">
        <f t="shared" si="45"/>
        <v>0</v>
      </c>
      <c r="CS34" s="92">
        <f t="shared" si="46"/>
        <v>0</v>
      </c>
      <c r="CT34" s="92">
        <f t="shared" si="47"/>
        <v>0.03</v>
      </c>
      <c r="CU34" s="127">
        <f t="shared" si="48"/>
        <v>0.32999999999999996</v>
      </c>
      <c r="CV34" s="231">
        <f t="shared" si="49"/>
        <v>0.72390893941933276</v>
      </c>
      <c r="CW34" s="188">
        <f t="shared" si="50"/>
        <v>1.2076842683834133</v>
      </c>
      <c r="CX34" s="206">
        <f t="shared" si="51"/>
        <v>7.2076842683834137</v>
      </c>
      <c r="CY34" s="231">
        <f t="shared" si="52"/>
        <v>0.83244489860898407</v>
      </c>
      <c r="CZ34">
        <f t="shared" si="53"/>
        <v>40.888964346349752</v>
      </c>
      <c r="DA34">
        <f t="shared" si="54"/>
        <v>658.06021323437074</v>
      </c>
      <c r="DD34" s="22">
        <v>4000</v>
      </c>
      <c r="DE34" s="22">
        <f t="shared" si="94"/>
        <v>25132.741228718343</v>
      </c>
      <c r="DF34" s="91">
        <f t="shared" si="95"/>
        <v>19.050036554092703</v>
      </c>
      <c r="DG34" s="93">
        <f t="shared" si="96"/>
        <v>-68.015018453977163</v>
      </c>
      <c r="DH34" s="91">
        <f t="shared" si="97"/>
        <v>-24.052095416453806</v>
      </c>
      <c r="DI34" s="92">
        <f t="shared" si="98"/>
        <v>165.31618151699001</v>
      </c>
      <c r="DJ34" s="92">
        <f t="shared" si="99"/>
        <v>-26.215392522366898</v>
      </c>
      <c r="DK34" s="93">
        <f t="shared" si="100"/>
        <v>166.01011580103113</v>
      </c>
      <c r="DL34" s="91">
        <f t="shared" si="101"/>
        <v>-5.0020588623611033</v>
      </c>
      <c r="DM34" s="92">
        <f t="shared" si="102"/>
        <v>97.301163063012851</v>
      </c>
      <c r="DN34" s="92">
        <f t="shared" si="103"/>
        <v>-7.165355968274195</v>
      </c>
      <c r="DO34" s="93">
        <f t="shared" si="104"/>
        <v>97.995097347053971</v>
      </c>
    </row>
    <row r="35" spans="1:119" x14ac:dyDescent="0.25">
      <c r="A35" t="s">
        <v>302</v>
      </c>
      <c r="B35" s="8">
        <f>VLOOKUP(ILrms_Total_Max_FB_DCM,R4:AV54,14,FALSE)</f>
        <v>0</v>
      </c>
      <c r="C35" s="12" t="s">
        <v>6</v>
      </c>
      <c r="D35" s="2"/>
      <c r="K35" s="58">
        <v>31</v>
      </c>
      <c r="L35" s="131">
        <f t="shared" si="55"/>
        <v>33.18</v>
      </c>
      <c r="M35" s="130">
        <f t="shared" si="56"/>
        <v>0.20092425155716295</v>
      </c>
      <c r="N35" s="132">
        <f t="shared" si="0"/>
        <v>9.904567043493058E-2</v>
      </c>
      <c r="O35" s="52">
        <f t="shared" si="57"/>
        <v>7.0035865211707349E-2</v>
      </c>
      <c r="P35" s="21">
        <f t="shared" si="58"/>
        <v>2.0286020648339487</v>
      </c>
      <c r="Q35" s="19">
        <f t="shared" si="59"/>
        <v>4.0572041296678973</v>
      </c>
      <c r="R35" s="6">
        <f t="shared" si="1"/>
        <v>2.4869671402898259</v>
      </c>
      <c r="S35" s="55">
        <f t="shared" si="60"/>
        <v>0.73719771349263463</v>
      </c>
      <c r="T35" s="133">
        <f t="shared" si="61"/>
        <v>0.70928831508418533</v>
      </c>
      <c r="U35" s="54">
        <f t="shared" si="2"/>
        <v>0.23706792697452767</v>
      </c>
      <c r="V35" s="21">
        <f t="shared" si="62"/>
        <v>4.2182002971133556</v>
      </c>
      <c r="W35" s="21">
        <f t="shared" si="63"/>
        <v>1.185776861683703</v>
      </c>
      <c r="X35" s="63">
        <f t="shared" si="64"/>
        <v>1.0752054527877226</v>
      </c>
      <c r="Y35" s="54">
        <f t="shared" si="3"/>
        <v>0.23706792697452767</v>
      </c>
      <c r="Z35" s="21">
        <f t="shared" si="4"/>
        <v>4.2182002971133556</v>
      </c>
      <c r="AA35" s="21">
        <f t="shared" si="65"/>
        <v>1.185776861683703</v>
      </c>
      <c r="AB35" s="63">
        <f t="shared" si="66"/>
        <v>1.0752054527877226</v>
      </c>
      <c r="AC35" s="52">
        <f t="shared" si="5"/>
        <v>0</v>
      </c>
      <c r="AD35" s="21">
        <f t="shared" si="6"/>
        <v>0</v>
      </c>
      <c r="AE35" s="21">
        <f t="shared" si="67"/>
        <v>0</v>
      </c>
      <c r="AF35" s="63">
        <f t="shared" si="68"/>
        <v>0</v>
      </c>
      <c r="AG35" s="52">
        <f t="shared" si="7"/>
        <v>0</v>
      </c>
      <c r="AH35" s="21">
        <f t="shared" si="8"/>
        <v>0</v>
      </c>
      <c r="AI35" s="21">
        <f t="shared" si="69"/>
        <v>0</v>
      </c>
      <c r="AJ35" s="63">
        <f t="shared" si="70"/>
        <v>0</v>
      </c>
      <c r="AK35" s="52">
        <f t="shared" si="9"/>
        <v>0</v>
      </c>
      <c r="AL35" s="21">
        <f t="shared" si="10"/>
        <v>0</v>
      </c>
      <c r="AM35" s="21">
        <f t="shared" si="71"/>
        <v>0</v>
      </c>
      <c r="AN35" s="63">
        <f t="shared" si="72"/>
        <v>0</v>
      </c>
      <c r="AO35" s="52">
        <f t="shared" si="73"/>
        <v>0</v>
      </c>
      <c r="AP35" s="21">
        <f t="shared" si="11"/>
        <v>0</v>
      </c>
      <c r="AQ35" s="21">
        <f t="shared" si="74"/>
        <v>0</v>
      </c>
      <c r="AR35" s="181">
        <f t="shared" si="75"/>
        <v>0</v>
      </c>
      <c r="AS35" s="52">
        <f t="shared" si="12"/>
        <v>0.15133499330954489</v>
      </c>
      <c r="AT35" s="21">
        <f t="shared" si="13"/>
        <v>1.3215714067592701</v>
      </c>
      <c r="AU35" s="21">
        <f t="shared" si="14"/>
        <v>0.2968244606676107</v>
      </c>
      <c r="AV35" s="63">
        <f t="shared" si="15"/>
        <v>0.2794722892356557</v>
      </c>
      <c r="AW35" s="182">
        <f t="shared" si="76"/>
        <v>9.2209184765179461E-2</v>
      </c>
      <c r="AX35" s="52">
        <f t="shared" si="77"/>
        <v>0</v>
      </c>
      <c r="AY35" s="74">
        <f t="shared" si="78"/>
        <v>0</v>
      </c>
      <c r="AZ35" s="78">
        <f t="shared" si="79"/>
        <v>0</v>
      </c>
      <c r="BA35" s="87">
        <f t="shared" si="80"/>
        <v>0</v>
      </c>
      <c r="BB35" s="110">
        <f t="shared" si="81"/>
        <v>389.58111577303015</v>
      </c>
      <c r="BC35" s="69">
        <f t="shared" si="82"/>
        <v>0.29218583682977262</v>
      </c>
      <c r="BD35" s="42">
        <f t="shared" si="83"/>
        <v>375.77078305839683</v>
      </c>
      <c r="BE35" s="79">
        <f t="shared" si="84"/>
        <v>0.28182808729379766</v>
      </c>
      <c r="BF35" s="117">
        <f t="shared" si="16"/>
        <v>1.318124734037469E-3</v>
      </c>
      <c r="BG35" s="118">
        <f t="shared" si="17"/>
        <v>1.6426211163389829E-2</v>
      </c>
      <c r="BH35" s="117">
        <f t="shared" si="18"/>
        <v>6.1943381790359594E-4</v>
      </c>
      <c r="BI35" s="118">
        <f t="shared" si="19"/>
        <v>2.6865194238630905E-2</v>
      </c>
      <c r="BJ35" s="117">
        <f t="shared" si="20"/>
        <v>6.1943381790359594E-4</v>
      </c>
      <c r="BK35" s="118">
        <f t="shared" si="21"/>
        <v>2.6865194238630905E-2</v>
      </c>
      <c r="BL35" s="91">
        <f t="shared" si="22"/>
        <v>0</v>
      </c>
      <c r="BM35" s="93">
        <f t="shared" si="23"/>
        <v>0</v>
      </c>
      <c r="BN35" s="91">
        <f t="shared" si="24"/>
        <v>0</v>
      </c>
      <c r="BO35" s="93">
        <f t="shared" si="25"/>
        <v>0</v>
      </c>
      <c r="BP35" s="91">
        <f t="shared" si="26"/>
        <v>0</v>
      </c>
      <c r="BQ35" s="93">
        <f t="shared" si="27"/>
        <v>0</v>
      </c>
      <c r="BR35" s="91">
        <f t="shared" si="28"/>
        <v>0</v>
      </c>
      <c r="BS35" s="93">
        <f t="shared" si="29"/>
        <v>0</v>
      </c>
      <c r="BT35" s="188">
        <f t="shared" si="30"/>
        <v>4.7302218821729144E-5</v>
      </c>
      <c r="BU35" s="93">
        <f t="shared" si="31"/>
        <v>3.4650633806579114E-3</v>
      </c>
      <c r="BV35" s="117">
        <f t="shared" si="85"/>
        <v>7.6225957609975928E-2</v>
      </c>
      <c r="BW35" s="206">
        <f t="shared" si="86"/>
        <v>7.6225957609975928E-2</v>
      </c>
      <c r="BX35" s="206">
        <f t="shared" si="87"/>
        <v>7.6225957609975928E-2</v>
      </c>
      <c r="BY35" s="97">
        <f t="shared" si="88"/>
        <v>0.36841179443974853</v>
      </c>
      <c r="BZ35" s="123">
        <f t="shared" si="89"/>
        <v>0.35805404490377357</v>
      </c>
      <c r="CA35" s="91">
        <f t="shared" si="90"/>
        <v>2.8259388404664274E-3</v>
      </c>
      <c r="CB35" s="92">
        <f t="shared" si="32"/>
        <v>2.5000000000000001E-3</v>
      </c>
      <c r="CC35" s="92">
        <f t="shared" si="33"/>
        <v>2.5000000000000001E-3</v>
      </c>
      <c r="CD35" s="92">
        <f t="shared" si="34"/>
        <v>0</v>
      </c>
      <c r="CE35" s="92">
        <f t="shared" si="35"/>
        <v>0</v>
      </c>
      <c r="CF35" s="92">
        <f t="shared" si="36"/>
        <v>0</v>
      </c>
      <c r="CG35" s="92">
        <f t="shared" si="37"/>
        <v>0</v>
      </c>
      <c r="CH35" s="92">
        <f t="shared" si="38"/>
        <v>1.0000000000000002E-4</v>
      </c>
      <c r="CI35" s="127">
        <f t="shared" si="91"/>
        <v>7.9259388404664278E-3</v>
      </c>
      <c r="CJ35" s="91">
        <f t="shared" si="92"/>
        <v>2.018527743190305E-4</v>
      </c>
      <c r="CK35" s="92">
        <f t="shared" si="39"/>
        <v>3.0000000000000002E-2</v>
      </c>
      <c r="CL35" s="92">
        <f t="shared" si="40"/>
        <v>0.11549999999999999</v>
      </c>
      <c r="CM35" s="127">
        <f t="shared" si="93"/>
        <v>0.14570185277431902</v>
      </c>
      <c r="CN35" s="91">
        <f t="shared" si="41"/>
        <v>0.15</v>
      </c>
      <c r="CO35" s="92">
        <f t="shared" si="42"/>
        <v>0.15</v>
      </c>
      <c r="CP35" s="92">
        <f t="shared" si="43"/>
        <v>0</v>
      </c>
      <c r="CQ35" s="92">
        <f t="shared" si="44"/>
        <v>0</v>
      </c>
      <c r="CR35" s="92">
        <f t="shared" si="45"/>
        <v>0</v>
      </c>
      <c r="CS35" s="92">
        <f t="shared" si="46"/>
        <v>0</v>
      </c>
      <c r="CT35" s="92">
        <f t="shared" si="47"/>
        <v>0.03</v>
      </c>
      <c r="CU35" s="127">
        <f t="shared" si="48"/>
        <v>0.32999999999999996</v>
      </c>
      <c r="CV35" s="231">
        <f t="shared" si="49"/>
        <v>0.7229673970223035</v>
      </c>
      <c r="CW35" s="188">
        <f t="shared" si="50"/>
        <v>1.2065951886370889</v>
      </c>
      <c r="CX35" s="206">
        <f t="shared" si="51"/>
        <v>7.2065951886370891</v>
      </c>
      <c r="CY35" s="231">
        <f t="shared" si="52"/>
        <v>0.83257069988618571</v>
      </c>
      <c r="CZ35">
        <f t="shared" si="53"/>
        <v>41.668964346349746</v>
      </c>
      <c r="DA35">
        <f t="shared" si="54"/>
        <v>658.84021323437082</v>
      </c>
      <c r="DD35" s="22">
        <v>5000</v>
      </c>
      <c r="DE35" s="22">
        <f t="shared" si="94"/>
        <v>31415.926535897932</v>
      </c>
      <c r="DF35" s="91">
        <f t="shared" si="95"/>
        <v>17.331022451431195</v>
      </c>
      <c r="DG35" s="93">
        <f t="shared" si="96"/>
        <v>-71.983217585885015</v>
      </c>
      <c r="DH35" s="91">
        <f t="shared" si="97"/>
        <v>-24.114697453557451</v>
      </c>
      <c r="DI35" s="92">
        <f t="shared" si="98"/>
        <v>165.87185073178409</v>
      </c>
      <c r="DJ35" s="92">
        <f t="shared" si="99"/>
        <v>-26.272943445091464</v>
      </c>
      <c r="DK35" s="93">
        <f t="shared" si="100"/>
        <v>166.73102271629858</v>
      </c>
      <c r="DL35" s="91">
        <f t="shared" si="101"/>
        <v>-6.7836750021262553</v>
      </c>
      <c r="DM35" s="92">
        <f t="shared" si="102"/>
        <v>93.888633145899078</v>
      </c>
      <c r="DN35" s="92">
        <f t="shared" si="103"/>
        <v>-8.9419209936602684</v>
      </c>
      <c r="DO35" s="93">
        <f t="shared" si="104"/>
        <v>94.747805130413568</v>
      </c>
    </row>
    <row r="36" spans="1:119" x14ac:dyDescent="0.25">
      <c r="A36" t="s">
        <v>303</v>
      </c>
      <c r="B36" s="8">
        <f>VLOOKUP(ILrms_Total_Max_FB_DCM,R4:AV54,18,FALSE)</f>
        <v>0</v>
      </c>
      <c r="C36" s="12" t="s">
        <v>6</v>
      </c>
      <c r="D36" s="2"/>
      <c r="K36" s="58">
        <v>32</v>
      </c>
      <c r="L36" s="131">
        <f t="shared" si="55"/>
        <v>33.96</v>
      </c>
      <c r="M36" s="130">
        <f t="shared" si="56"/>
        <v>0.19630938358853553</v>
      </c>
      <c r="N36" s="132">
        <f t="shared" si="0"/>
        <v>9.6770769877237817E-2</v>
      </c>
      <c r="O36" s="52">
        <f t="shared" si="57"/>
        <v>6.8427267600837755E-2</v>
      </c>
      <c r="P36" s="21">
        <f t="shared" si="58"/>
        <v>2.0286020648339487</v>
      </c>
      <c r="Q36" s="19">
        <f t="shared" si="59"/>
        <v>4.0572041296678973</v>
      </c>
      <c r="R36" s="6">
        <f t="shared" ref="R36:R54" si="105">SUM(S36,(Ns1_Flyback/Np)*W36,(Ns2_Flyback/Np)*AA36,(Ns3_Flyback/Np)*AE36,(Ns4_Flyback/Np)*AI36,(Ns5_Flyback/Np)*AM36,(Ns6_Flyback/Np)*AR36,(NsAux_Flyback/Np)*AU36)</f>
        <v>2.4784519099076179</v>
      </c>
      <c r="S36" s="55">
        <f t="shared" si="60"/>
        <v>0.7286824831104266</v>
      </c>
      <c r="T36" s="133">
        <f t="shared" si="61"/>
        <v>0.70174125367336526</v>
      </c>
      <c r="U36" s="54">
        <f t="shared" ref="U36:U54" si="106">IF(AND(Vout1&lt;&gt;0,Iout1&lt;&gt;0),(Lm_Flyback_DCM*((Ns1_Flyback/Np)^2)*Fsw*V36)/ABS(Vout1),0)</f>
        <v>0.23706792697452767</v>
      </c>
      <c r="V36" s="21">
        <f t="shared" ref="V36:V54" si="107">IF(AND(Vout1&lt;&gt;0,Iout1&lt;&gt;0),(SQRT((2*ABS(Vout1)*Iout1)/(Fsw*Lm_Flyback_DCM*((Ns1_Flyback/Np)^2)))),0)</f>
        <v>4.2182002971133556</v>
      </c>
      <c r="W36" s="21">
        <f t="shared" si="63"/>
        <v>1.185776861683703</v>
      </c>
      <c r="X36" s="63">
        <f t="shared" si="64"/>
        <v>1.0752054527877226</v>
      </c>
      <c r="Y36" s="54">
        <f t="shared" ref="Y36:Y54" si="108">IF(AND(Vout2&lt;&gt;0,Iout2&lt;&gt;0),(Lm_Flyback_DCM*((Ns2_Flyback/Np)^2)*Fsw*Z36)/ABS(Vout2),0)</f>
        <v>0.23706792697452767</v>
      </c>
      <c r="Z36" s="21">
        <f t="shared" ref="Z36:Z54" si="109">IF(AND(Vout2&lt;&gt;0,Iout2&lt;&gt;0),(SQRT((2*ABS(Vout2)*Iout2)/(Fsw*Lm_Flyback_DCM*((Ns2_Flyback/Np)^2)))),0)</f>
        <v>4.2182002971133556</v>
      </c>
      <c r="AA36" s="21">
        <f t="shared" si="65"/>
        <v>1.185776861683703</v>
      </c>
      <c r="AB36" s="63">
        <f t="shared" si="66"/>
        <v>1.0752054527877226</v>
      </c>
      <c r="AC36" s="52">
        <f t="shared" ref="AC36:AC54" si="110">IF(AND(Vout3&lt;&gt;0,Iout3&lt;&gt;0),(Lm_Flyback_DCM*((Ns3_Flyback/Np)^2)*Fsw*AD36)/ABS(Vout3),0)</f>
        <v>0</v>
      </c>
      <c r="AD36" s="21">
        <f t="shared" ref="AD36:AD54" si="111">IF(AND(Vout3&lt;&gt;0,Iout3&lt;&gt;0),(SQRT((2*ABS(Vout3)*Iout3)/(Fsw*Lm_Flyback_DCM*((Ns3_Flyback/Np)^2)))),0)</f>
        <v>0</v>
      </c>
      <c r="AE36" s="21">
        <f t="shared" si="67"/>
        <v>0</v>
      </c>
      <c r="AF36" s="63">
        <f t="shared" si="68"/>
        <v>0</v>
      </c>
      <c r="AG36" s="52">
        <f t="shared" ref="AG36:AG54" si="112">IF(AND(Vout4&lt;&gt;0,Iout4&lt;&gt;0),(Lm_Flyback_DCM*((Ns4_Flyback/Np)^2)*Fsw*AH36)/ABS(Vout4),0)</f>
        <v>0</v>
      </c>
      <c r="AH36" s="21">
        <f t="shared" ref="AH36:AH54" si="113">IF(AND(Vout4&lt;&gt;0,Iout4&lt;&gt;0),(SQRT((2*ABS(Vout4)*Iout4)/(Fsw*Lm_Flyback_DCM*((Ns4_Flyback/Np)^2)))),0)</f>
        <v>0</v>
      </c>
      <c r="AI36" s="21">
        <f t="shared" si="69"/>
        <v>0</v>
      </c>
      <c r="AJ36" s="63">
        <f t="shared" si="70"/>
        <v>0</v>
      </c>
      <c r="AK36" s="52">
        <f t="shared" ref="AK36:AK54" si="114">IF(AND(Vout5&lt;&gt;0,Iout5&lt;&gt;0),(Lm_Flyback_DCM*((Ns5_Flyback/Np)^2)*Fsw*AL36)/ABS(Vout5),0)</f>
        <v>0</v>
      </c>
      <c r="AL36" s="21">
        <f t="shared" ref="AL36:AL54" si="115">IF(AND(Vout5&lt;&gt;0,Iout5&lt;&gt;0),(SQRT((2*ABS(Vout5)*Iout5)/(Fsw*Lm_Flyback_DCM*((Ns5_Flyback/Np)^2)))),0)</f>
        <v>0</v>
      </c>
      <c r="AM36" s="21">
        <f t="shared" si="71"/>
        <v>0</v>
      </c>
      <c r="AN36" s="63">
        <f t="shared" si="72"/>
        <v>0</v>
      </c>
      <c r="AO36" s="52">
        <f t="shared" ref="AO36:AO54" si="116">IF(AND(Vout6&lt;&gt;0,Iout6&lt;&gt;0),(Lm_Flyback_DCM*((Ns6_Flyback/Np)^2)*Fsw*AP36)/ABS(Vout6),0)</f>
        <v>0</v>
      </c>
      <c r="AP36" s="21">
        <f t="shared" ref="AP36:AP54" si="117">IF(AND(Vout6&lt;&gt;0,Iout6&lt;&gt;0),(SQRT((2*ABS(Vout6)*Iout6)/(Fsw*Lm_Flyback_DCM*((Ns6_Flyback/Np)^2)))),0)</f>
        <v>0</v>
      </c>
      <c r="AQ36" s="21">
        <f t="shared" si="74"/>
        <v>0</v>
      </c>
      <c r="AR36" s="181">
        <f t="shared" si="75"/>
        <v>0</v>
      </c>
      <c r="AS36" s="52">
        <f t="shared" ref="AS36:AS54" si="118">IF(AND(VOUTAUX&lt;&gt;0,IoutAux&lt;&gt;0),(Lm_Flyback_DCM*((NsAux_Flyback/Np)^2)*Fsw*AT36)/ABS(VOUTAUX),0)</f>
        <v>0.15133499330954489</v>
      </c>
      <c r="AT36" s="21">
        <f t="shared" ref="AT36:AT54" si="119">IF(AND(VOUTAUX&lt;&gt;0,IoutAux&lt;&gt;0),(SQRT((2*ABS(VOUTAUX)*IoutAux)/(Fsw*Lm_Flyback_DCM*((NsAux_Flyback/Np)^2)))),0)</f>
        <v>1.3215714067592701</v>
      </c>
      <c r="AU36" s="21">
        <f t="shared" ref="AU36:AU54" si="120">IF(AND(VOUTAUX&lt;&gt;0,IoutAux&lt;&gt;0),SQRT(AS36/3)*AT36,0)</f>
        <v>0.2968244606676107</v>
      </c>
      <c r="AV36" s="63">
        <f t="shared" ref="AV36:AV54" si="121">IF(AND(VOUTAUX&lt;&gt;0,IoutAux&lt;&gt;0),SQRT((AU36^2)-(IoutAux^2)),0)</f>
        <v>0.2794722892356557</v>
      </c>
      <c r="AW36" s="182">
        <f t="shared" si="76"/>
        <v>9.2209184765179461E-2</v>
      </c>
      <c r="AX36" s="52">
        <f t="shared" si="77"/>
        <v>0</v>
      </c>
      <c r="AY36" s="74">
        <f t="shared" si="78"/>
        <v>0</v>
      </c>
      <c r="AZ36" s="78">
        <f t="shared" si="79"/>
        <v>0</v>
      </c>
      <c r="BA36" s="87">
        <f t="shared" si="80"/>
        <v>0</v>
      </c>
      <c r="BB36" s="110">
        <f t="shared" si="81"/>
        <v>389.58111577303015</v>
      </c>
      <c r="BC36" s="69">
        <f t="shared" si="82"/>
        <v>0.29218583682977262</v>
      </c>
      <c r="BD36" s="42">
        <f t="shared" si="83"/>
        <v>375.77078305839683</v>
      </c>
      <c r="BE36" s="79">
        <f t="shared" si="84"/>
        <v>0.28182808729379766</v>
      </c>
      <c r="BF36" s="117">
        <f t="shared" ref="BF36:BF54" si="122">(M36^2)*RdcPri_Flyback_DCM</f>
        <v>1.2582701956300628E-3</v>
      </c>
      <c r="BG36" s="118">
        <f t="shared" ref="BG36:BG54" si="123">RacPri_Flyback_DCM*(T36^2)</f>
        <v>1.6078510283658445E-2</v>
      </c>
      <c r="BH36" s="117">
        <f t="shared" ref="BH36:BH54" si="124">IF(AND(Vout1&lt;&gt;0,Iout1&lt;&gt;0),Rdc1_Flyback_DCM*(Iout1^2),0)</f>
        <v>6.1943381790359594E-4</v>
      </c>
      <c r="BI36" s="118">
        <f t="shared" ref="BI36:BI54" si="125">IF(AND(Vout1&lt;&gt;0,Iout1&lt;&gt;0),Rac1_Flyback_DCM*(X36^2),0)</f>
        <v>2.6865194238630905E-2</v>
      </c>
      <c r="BJ36" s="117">
        <f t="shared" ref="BJ36:BJ54" si="126">IF(AND(Vout2&lt;&gt;0,Iout2&lt;&gt;0),Rdc2_Flyback_DCM*(Iout2^2),0)</f>
        <v>6.1943381790359594E-4</v>
      </c>
      <c r="BK36" s="118">
        <f t="shared" ref="BK36:BK54" si="127">IF(AND(Vout2&lt;&gt;0,Iout2&lt;&gt;0),Rac2_Flyback_DCM*(AB36^2),0)</f>
        <v>2.6865194238630905E-2</v>
      </c>
      <c r="BL36" s="91">
        <f t="shared" ref="BL36:BL54" si="128">IF(AND(Vout3&lt;&gt;0,Iout3&lt;&gt;0),Rdc3_Flyback_DCM*(Iout3^2),0)</f>
        <v>0</v>
      </c>
      <c r="BM36" s="93">
        <f t="shared" ref="BM36:BM54" si="129">IF(AND(Vout3&lt;&gt;0,Iout3&lt;&gt;0),Rac3_Flyback_DCM*(AF36^2),0)</f>
        <v>0</v>
      </c>
      <c r="BN36" s="91">
        <f t="shared" ref="BN36:BN54" si="130">IF(AND(Vout4&lt;&gt;0,Iout4&lt;&gt;0),Rdc4_Flyback_DCM*(Iout4^2),0)</f>
        <v>0</v>
      </c>
      <c r="BO36" s="93">
        <f t="shared" ref="BO36:BO54" si="131">IF(AND(Vout4&lt;&gt;0,Iout4&lt;&gt;0),Rac4_Flyback_DCM*(AJ36^2),0)</f>
        <v>0</v>
      </c>
      <c r="BP36" s="91">
        <f t="shared" ref="BP36:BP54" si="132">IF(AND(Vout5&lt;&gt;0,Iout5&lt;&gt;0),Rdc5_Flyback_DCM*(Iout5^2),0)</f>
        <v>0</v>
      </c>
      <c r="BQ36" s="93">
        <f t="shared" ref="BQ36:BQ54" si="133">IF(AND(Vout5&lt;&gt;0,Iout5&lt;&gt;0),Rac5_Flyback_DCM*(AN36^2),0)</f>
        <v>0</v>
      </c>
      <c r="BR36" s="91">
        <f t="shared" ref="BR36:BR54" si="134">IF(AND(Vout6&lt;&gt;0,Iout6&lt;&gt;0),Rdc6_Flyback_DCM*(Iout6^2),0)</f>
        <v>0</v>
      </c>
      <c r="BS36" s="93">
        <f t="shared" ref="BS36:BS54" si="135">IF(AND(Vout6&lt;&gt;0,Iout6&lt;&gt;0),Rac6_Flyback_DCM*(AR36^2),0)</f>
        <v>0</v>
      </c>
      <c r="BT36" s="188">
        <f t="shared" ref="BT36:BT54" si="136">IF(AND(VOUTAUX&lt;&gt;0,IoutAux&lt;&gt;0),RdcAUX_Flyback_DCM*(IoutAux^2),0)</f>
        <v>4.7302218821729144E-5</v>
      </c>
      <c r="BU36" s="93">
        <f t="shared" ref="BU36:BU54" si="137">IF(AND(VOUTAUX&lt;&gt;0,IoutAux&lt;&gt;0),RacAUX_Flyback_DCM*(AV36^2),0)</f>
        <v>3.4650633806579114E-3</v>
      </c>
      <c r="BV36" s="117">
        <f t="shared" si="85"/>
        <v>7.5818402191837136E-2</v>
      </c>
      <c r="BW36" s="206">
        <f t="shared" si="86"/>
        <v>7.5818402191837136E-2</v>
      </c>
      <c r="BX36" s="206">
        <f t="shared" si="87"/>
        <v>7.5818402191837136E-2</v>
      </c>
      <c r="BY36" s="97">
        <f t="shared" si="88"/>
        <v>0.36800423902160972</v>
      </c>
      <c r="BZ36" s="123">
        <f t="shared" si="89"/>
        <v>0.35764648948563482</v>
      </c>
      <c r="CA36" s="91">
        <f t="shared" si="90"/>
        <v>2.6976161859437551E-3</v>
      </c>
      <c r="CB36" s="92">
        <f t="shared" ref="CB36:CB54" si="138">IF(AND(Vout1&lt;&gt;0,Iout1&lt;&gt;0),(Iout1^2)*$B$100,0)</f>
        <v>2.5000000000000001E-3</v>
      </c>
      <c r="CC36" s="92">
        <f t="shared" ref="CC36:CC54" si="139">IF(AND(Vout2&lt;&gt;0,Iout2&lt;&gt;0),(Iout2^2)*$B$101,0)</f>
        <v>2.5000000000000001E-3</v>
      </c>
      <c r="CD36" s="92">
        <f t="shared" ref="CD36:CD54" si="140">IF(AND(Vout3&lt;&gt;0,Iout3&lt;&gt;0),(Iout3^2)*$B$102,0)</f>
        <v>0</v>
      </c>
      <c r="CE36" s="92">
        <f t="shared" ref="CE36:CE54" si="141">IF(AND(Vout4&lt;&gt;0,Iout4&lt;&gt;0),(Iout4^2)*$B$103,0)</f>
        <v>0</v>
      </c>
      <c r="CF36" s="92">
        <f t="shared" ref="CF36:CF54" si="142">IF(AND(Vout5&lt;&gt;0,Iout5&lt;&gt;0),(Iout5^2)*$B$104,0)</f>
        <v>0</v>
      </c>
      <c r="CG36" s="92">
        <f t="shared" ref="CG36:CG54" si="143">IF(AND(Vout6&lt;&gt;0,Iout6&lt;&gt;0),(Iout6^2)*$B$105,0)</f>
        <v>0</v>
      </c>
      <c r="CH36" s="92">
        <f t="shared" ref="CH36:CH54" si="144">IF(AND(VOUTAUX&lt;&gt;0,IoutAux&lt;&gt;0),(IoutAux^2)*$B$106,0)</f>
        <v>1.0000000000000002E-4</v>
      </c>
      <c r="CI36" s="127">
        <f t="shared" si="91"/>
        <v>7.7976161859437563E-3</v>
      </c>
      <c r="CJ36" s="91">
        <f t="shared" si="92"/>
        <v>1.9268687042455393E-4</v>
      </c>
      <c r="CK36" s="92">
        <f t="shared" ref="CK36:CK54" si="145">0.5*M36*L36*Fsw*T_Rise_Fall</f>
        <v>3.0000000000000002E-2</v>
      </c>
      <c r="CL36" s="92">
        <f t="shared" ref="CL36:CL54" si="146">$B$88*$B$79*Fsw</f>
        <v>0.11549999999999999</v>
      </c>
      <c r="CM36" s="127">
        <f t="shared" si="93"/>
        <v>0.14569268687042455</v>
      </c>
      <c r="CN36" s="91">
        <f t="shared" ref="CN36:CN54" si="147">IF(AND(Iout1&lt;&gt;0,Vout1&lt;&gt;0),Iout1*Vdiode1,0)</f>
        <v>0.15</v>
      </c>
      <c r="CO36" s="92">
        <f t="shared" ref="CO36:CO54" si="148">IF(AND(Iout2&lt;&gt;0,Vout2&lt;&gt;0),Iout2*Vdiode2,0)</f>
        <v>0.15</v>
      </c>
      <c r="CP36" s="92">
        <f t="shared" ref="CP36:CP54" si="149">IF(AND(Iout3&lt;&gt;0,Vout3&lt;&gt;0),Iout3*Vdiode3,0)</f>
        <v>0</v>
      </c>
      <c r="CQ36" s="92">
        <f t="shared" ref="CQ36:CQ54" si="150">IF(AND(Iout4&lt;&gt;0,Vout4&lt;&gt;0),Iout4*Vdiode4,0)</f>
        <v>0</v>
      </c>
      <c r="CR36" s="92">
        <f t="shared" ref="CR36:CR54" si="151">IF(AND(Iout5&lt;&gt;0,Vout5&lt;&gt;0),Iout5*Vdiode5,0)</f>
        <v>0</v>
      </c>
      <c r="CS36" s="92">
        <f t="shared" ref="CS36:CS54" si="152">IF(AND(Iout6&lt;&gt;0,Vout6&lt;&gt;0),Iout6*Vdiode6,0)</f>
        <v>0</v>
      </c>
      <c r="CT36" s="92">
        <f t="shared" ref="CT36:CT54" si="153">IF(AND(IoutAux&lt;&gt;0,VOUTAUX&lt;&gt;0),IoutAux*VdiodeAux,0)</f>
        <v>0.03</v>
      </c>
      <c r="CU36" s="127">
        <f t="shared" ref="CU36:CU54" si="154">SUM(CN36:CT36)</f>
        <v>0.32999999999999996</v>
      </c>
      <c r="CV36" s="231">
        <f t="shared" ref="CV36:CV54" si="155">IF(AND(Vout1&lt;&gt;0,Ns1_Flyback&lt;&gt;0),0.5*(Q36^2)*LL_Flyback_DCM*Fsw*((Vclamp_Flyback_DCM-L36)/((Vclamp_Flyback_DCM-L36)+((Np/Ns1_Flyback)*ABS(Vout1)))),0)</f>
        <v>0.72200614676870778</v>
      </c>
      <c r="CW36" s="188">
        <f t="shared" ref="CW36:CW54" si="156">CI36+CM36+CV36+CU36</f>
        <v>1.205496449825076</v>
      </c>
      <c r="CX36" s="206">
        <f t="shared" ref="CX36:CX54" si="157">Pout_Flyback+CW36</f>
        <v>7.205496449825076</v>
      </c>
      <c r="CY36" s="231">
        <f t="shared" ref="CY36:CY54" si="158">Pout_Flyback/CX36</f>
        <v>0.8326976554329798</v>
      </c>
      <c r="CZ36">
        <f t="shared" ref="CZ36:CZ54" si="159">L36+(ABS(Vout1)*(Np/Ns1_Flyback))</f>
        <v>42.448964346349747</v>
      </c>
      <c r="DA36">
        <f t="shared" ref="DA36:DA54" si="160">IF(AND(Vout1&lt;&gt;0,Ns1_Flyback&lt;&gt;0),L36+(ABS(Vout1)*(Np/Ns1_Flyback))*(Q36*SQRT(LL_Flyback_DCM/Coss_Flyback_DCM)),0)</f>
        <v>659.62021323437091</v>
      </c>
      <c r="DD36" s="22">
        <v>6000</v>
      </c>
      <c r="DE36" s="22">
        <f t="shared" si="94"/>
        <v>37699.111843077517</v>
      </c>
      <c r="DF36" s="91">
        <f t="shared" si="95"/>
        <v>15.871306342291948</v>
      </c>
      <c r="DG36" s="93">
        <f t="shared" si="96"/>
        <v>-74.711956905053668</v>
      </c>
      <c r="DH36" s="91">
        <f t="shared" si="97"/>
        <v>-24.162652885511395</v>
      </c>
      <c r="DI36" s="92">
        <f t="shared" si="98"/>
        <v>165.82344026166399</v>
      </c>
      <c r="DJ36" s="92">
        <f t="shared" si="99"/>
        <v>-26.31484444527085</v>
      </c>
      <c r="DK36" s="93">
        <f t="shared" si="100"/>
        <v>166.84620254698339</v>
      </c>
      <c r="DL36" s="91">
        <f t="shared" si="101"/>
        <v>-8.2913465432194471</v>
      </c>
      <c r="DM36" s="92">
        <f t="shared" si="102"/>
        <v>91.111483356610321</v>
      </c>
      <c r="DN36" s="92">
        <f t="shared" si="103"/>
        <v>-10.443538102978902</v>
      </c>
      <c r="DO36" s="93">
        <f t="shared" si="104"/>
        <v>92.134245641929724</v>
      </c>
    </row>
    <row r="37" spans="1:119" x14ac:dyDescent="0.25">
      <c r="A37" t="s">
        <v>304</v>
      </c>
      <c r="B37" s="8">
        <f>VLOOKUP(ILrms_Total_Max_FB_DCM,R4:AV54,22,FALSE)</f>
        <v>0</v>
      </c>
      <c r="C37" s="12" t="s">
        <v>6</v>
      </c>
      <c r="D37" s="2"/>
      <c r="K37" s="58">
        <v>33</v>
      </c>
      <c r="L37" s="131">
        <f t="shared" si="55"/>
        <v>34.74</v>
      </c>
      <c r="M37" s="130">
        <f t="shared" si="56"/>
        <v>0.19190174630589138</v>
      </c>
      <c r="N37" s="132">
        <f t="shared" si="0"/>
        <v>9.4598023748733343E-2</v>
      </c>
      <c r="O37" s="52">
        <f t="shared" si="57"/>
        <v>6.6890904079575417E-2</v>
      </c>
      <c r="P37" s="21">
        <f t="shared" si="58"/>
        <v>2.0286020648339487</v>
      </c>
      <c r="Q37" s="19">
        <f t="shared" si="59"/>
        <v>4.0572041296678973</v>
      </c>
      <c r="R37" s="6">
        <f t="shared" si="105"/>
        <v>2.4702250963113968</v>
      </c>
      <c r="S37" s="55">
        <f t="shared" si="60"/>
        <v>0.7204556695142057</v>
      </c>
      <c r="T37" s="133">
        <f t="shared" si="61"/>
        <v>0.69442788790479293</v>
      </c>
      <c r="U37" s="54">
        <f t="shared" si="106"/>
        <v>0.23706792697452767</v>
      </c>
      <c r="V37" s="21">
        <f t="shared" si="107"/>
        <v>4.2182002971133556</v>
      </c>
      <c r="W37" s="21">
        <f t="shared" si="63"/>
        <v>1.185776861683703</v>
      </c>
      <c r="X37" s="63">
        <f t="shared" si="64"/>
        <v>1.0752054527877226</v>
      </c>
      <c r="Y37" s="54">
        <f t="shared" si="108"/>
        <v>0.23706792697452767</v>
      </c>
      <c r="Z37" s="21">
        <f t="shared" si="109"/>
        <v>4.2182002971133556</v>
      </c>
      <c r="AA37" s="21">
        <f t="shared" si="65"/>
        <v>1.185776861683703</v>
      </c>
      <c r="AB37" s="63">
        <f t="shared" si="66"/>
        <v>1.0752054527877226</v>
      </c>
      <c r="AC37" s="52">
        <f t="shared" si="110"/>
        <v>0</v>
      </c>
      <c r="AD37" s="21">
        <f t="shared" si="111"/>
        <v>0</v>
      </c>
      <c r="AE37" s="21">
        <f t="shared" si="67"/>
        <v>0</v>
      </c>
      <c r="AF37" s="63">
        <f t="shared" si="68"/>
        <v>0</v>
      </c>
      <c r="AG37" s="52">
        <f t="shared" si="112"/>
        <v>0</v>
      </c>
      <c r="AH37" s="21">
        <f t="shared" si="113"/>
        <v>0</v>
      </c>
      <c r="AI37" s="21">
        <f t="shared" si="69"/>
        <v>0</v>
      </c>
      <c r="AJ37" s="63">
        <f t="shared" si="70"/>
        <v>0</v>
      </c>
      <c r="AK37" s="52">
        <f t="shared" si="114"/>
        <v>0</v>
      </c>
      <c r="AL37" s="21">
        <f t="shared" si="115"/>
        <v>0</v>
      </c>
      <c r="AM37" s="21">
        <f t="shared" si="71"/>
        <v>0</v>
      </c>
      <c r="AN37" s="63">
        <f t="shared" si="72"/>
        <v>0</v>
      </c>
      <c r="AO37" s="52">
        <f t="shared" si="116"/>
        <v>0</v>
      </c>
      <c r="AP37" s="21">
        <f t="shared" si="117"/>
        <v>0</v>
      </c>
      <c r="AQ37" s="21">
        <f t="shared" si="74"/>
        <v>0</v>
      </c>
      <c r="AR37" s="181">
        <f t="shared" si="75"/>
        <v>0</v>
      </c>
      <c r="AS37" s="52">
        <f t="shared" si="118"/>
        <v>0.15133499330954489</v>
      </c>
      <c r="AT37" s="21">
        <f t="shared" si="119"/>
        <v>1.3215714067592701</v>
      </c>
      <c r="AU37" s="21">
        <f t="shared" si="120"/>
        <v>0.2968244606676107</v>
      </c>
      <c r="AV37" s="63">
        <f t="shared" si="121"/>
        <v>0.2794722892356557</v>
      </c>
      <c r="AW37" s="182">
        <f t="shared" si="76"/>
        <v>9.2209184765179461E-2</v>
      </c>
      <c r="AX37" s="52">
        <f t="shared" si="77"/>
        <v>0</v>
      </c>
      <c r="AY37" s="74">
        <f t="shared" si="78"/>
        <v>0</v>
      </c>
      <c r="AZ37" s="78">
        <f t="shared" si="79"/>
        <v>0</v>
      </c>
      <c r="BA37" s="87">
        <f t="shared" si="80"/>
        <v>0</v>
      </c>
      <c r="BB37" s="110">
        <f t="shared" si="81"/>
        <v>389.58111577303015</v>
      </c>
      <c r="BC37" s="69">
        <f t="shared" si="82"/>
        <v>0.29218583682977262</v>
      </c>
      <c r="BD37" s="42">
        <f t="shared" si="83"/>
        <v>375.77078305839683</v>
      </c>
      <c r="BE37" s="79">
        <f t="shared" si="84"/>
        <v>0.28182808729379766</v>
      </c>
      <c r="BF37" s="117">
        <f t="shared" si="122"/>
        <v>1.2024018744463366E-3</v>
      </c>
      <c r="BG37" s="118">
        <f t="shared" si="123"/>
        <v>1.5745124466274376E-2</v>
      </c>
      <c r="BH37" s="117">
        <f t="shared" si="124"/>
        <v>6.1943381790359594E-4</v>
      </c>
      <c r="BI37" s="118">
        <f t="shared" si="125"/>
        <v>2.6865194238630905E-2</v>
      </c>
      <c r="BJ37" s="117">
        <f t="shared" si="126"/>
        <v>6.1943381790359594E-4</v>
      </c>
      <c r="BK37" s="118">
        <f t="shared" si="127"/>
        <v>2.6865194238630905E-2</v>
      </c>
      <c r="BL37" s="91">
        <f t="shared" si="128"/>
        <v>0</v>
      </c>
      <c r="BM37" s="93">
        <f t="shared" si="129"/>
        <v>0</v>
      </c>
      <c r="BN37" s="91">
        <f t="shared" si="130"/>
        <v>0</v>
      </c>
      <c r="BO37" s="93">
        <f t="shared" si="131"/>
        <v>0</v>
      </c>
      <c r="BP37" s="91">
        <f t="shared" si="132"/>
        <v>0</v>
      </c>
      <c r="BQ37" s="93">
        <f t="shared" si="133"/>
        <v>0</v>
      </c>
      <c r="BR37" s="91">
        <f t="shared" si="134"/>
        <v>0</v>
      </c>
      <c r="BS37" s="93">
        <f t="shared" si="135"/>
        <v>0</v>
      </c>
      <c r="BT37" s="188">
        <f t="shared" si="136"/>
        <v>4.7302218821729144E-5</v>
      </c>
      <c r="BU37" s="93">
        <f t="shared" si="137"/>
        <v>3.4650633806579114E-3</v>
      </c>
      <c r="BV37" s="117">
        <f t="shared" si="85"/>
        <v>7.5429148053269349E-2</v>
      </c>
      <c r="BW37" s="206">
        <f t="shared" si="86"/>
        <v>7.5429148053269349E-2</v>
      </c>
      <c r="BX37" s="206">
        <f t="shared" si="87"/>
        <v>7.5429148053269349E-2</v>
      </c>
      <c r="BY37" s="97">
        <f t="shared" si="88"/>
        <v>0.36761498488304195</v>
      </c>
      <c r="BZ37" s="123">
        <f t="shared" si="89"/>
        <v>0.35725723534706699</v>
      </c>
      <c r="CA37" s="91">
        <f t="shared" si="90"/>
        <v>2.5778396164675491E-3</v>
      </c>
      <c r="CB37" s="92">
        <f t="shared" si="138"/>
        <v>2.5000000000000001E-3</v>
      </c>
      <c r="CC37" s="92">
        <f t="shared" si="139"/>
        <v>2.5000000000000001E-3</v>
      </c>
      <c r="CD37" s="92">
        <f t="shared" si="140"/>
        <v>0</v>
      </c>
      <c r="CE37" s="92">
        <f t="shared" si="141"/>
        <v>0</v>
      </c>
      <c r="CF37" s="92">
        <f t="shared" si="142"/>
        <v>0</v>
      </c>
      <c r="CG37" s="92">
        <f t="shared" si="143"/>
        <v>0</v>
      </c>
      <c r="CH37" s="92">
        <f t="shared" si="144"/>
        <v>1.0000000000000002E-4</v>
      </c>
      <c r="CI37" s="127">
        <f t="shared" si="91"/>
        <v>7.6778396164675503E-3</v>
      </c>
      <c r="CJ37" s="91">
        <f t="shared" si="92"/>
        <v>1.8413140117625349E-4</v>
      </c>
      <c r="CK37" s="92">
        <f t="shared" si="145"/>
        <v>3.0000000000000002E-2</v>
      </c>
      <c r="CL37" s="92">
        <f t="shared" si="146"/>
        <v>0.11549999999999999</v>
      </c>
      <c r="CM37" s="127">
        <f t="shared" si="93"/>
        <v>0.14568413140117625</v>
      </c>
      <c r="CN37" s="91">
        <f t="shared" si="147"/>
        <v>0.15</v>
      </c>
      <c r="CO37" s="92">
        <f t="shared" si="148"/>
        <v>0.15</v>
      </c>
      <c r="CP37" s="92">
        <f t="shared" si="149"/>
        <v>0</v>
      </c>
      <c r="CQ37" s="92">
        <f t="shared" si="150"/>
        <v>0</v>
      </c>
      <c r="CR37" s="92">
        <f t="shared" si="151"/>
        <v>0</v>
      </c>
      <c r="CS37" s="92">
        <f t="shared" si="152"/>
        <v>0</v>
      </c>
      <c r="CT37" s="92">
        <f t="shared" si="153"/>
        <v>0.03</v>
      </c>
      <c r="CU37" s="127">
        <f t="shared" si="154"/>
        <v>0.32999999999999996</v>
      </c>
      <c r="CV37" s="231">
        <f t="shared" si="155"/>
        <v>0.72102456334285792</v>
      </c>
      <c r="CW37" s="188">
        <f t="shared" si="156"/>
        <v>1.2043865343605016</v>
      </c>
      <c r="CX37" s="206">
        <f t="shared" si="157"/>
        <v>7.204386534360502</v>
      </c>
      <c r="CY37" s="231">
        <f t="shared" si="158"/>
        <v>0.83282594172087832</v>
      </c>
      <c r="CZ37">
        <f t="shared" si="159"/>
        <v>43.228964346349748</v>
      </c>
      <c r="DA37">
        <f t="shared" si="160"/>
        <v>660.40021323437088</v>
      </c>
      <c r="DD37" s="22">
        <v>7000</v>
      </c>
      <c r="DE37" s="22">
        <f t="shared" si="94"/>
        <v>43982.297150257102</v>
      </c>
      <c r="DF37" s="91">
        <f t="shared" si="95"/>
        <v>14.608870300708112</v>
      </c>
      <c r="DG37" s="93">
        <f t="shared" si="96"/>
        <v>-76.686763206803832</v>
      </c>
      <c r="DH37" s="91">
        <f t="shared" si="97"/>
        <v>-24.205860023327382</v>
      </c>
      <c r="DI37" s="92">
        <f t="shared" si="98"/>
        <v>165.42989642016371</v>
      </c>
      <c r="DJ37" s="92">
        <f t="shared" si="99"/>
        <v>-26.351003796107801</v>
      </c>
      <c r="DK37" s="93">
        <f t="shared" si="100"/>
        <v>166.61392150442731</v>
      </c>
      <c r="DL37" s="91">
        <f t="shared" si="101"/>
        <v>-9.59698972261927</v>
      </c>
      <c r="DM37" s="92">
        <f t="shared" si="102"/>
        <v>88.743133213359883</v>
      </c>
      <c r="DN37" s="92">
        <f t="shared" si="103"/>
        <v>-11.742133495399688</v>
      </c>
      <c r="DO37" s="93">
        <f t="shared" si="104"/>
        <v>89.927158297623478</v>
      </c>
    </row>
    <row r="38" spans="1:119" x14ac:dyDescent="0.25">
      <c r="A38" t="s">
        <v>305</v>
      </c>
      <c r="B38" s="8">
        <f>VLOOKUP(ILrms_Total_Max_FB_DCM,R4:AV54,26,FALSE)</f>
        <v>0</v>
      </c>
      <c r="C38" s="12" t="s">
        <v>6</v>
      </c>
      <c r="K38" s="58">
        <v>34</v>
      </c>
      <c r="L38" s="131">
        <f t="shared" si="55"/>
        <v>35.519999999999996</v>
      </c>
      <c r="M38" s="130">
        <f t="shared" si="56"/>
        <v>0.1876876876876877</v>
      </c>
      <c r="N38" s="132">
        <f t="shared" si="0"/>
        <v>9.2520702281278067E-2</v>
      </c>
      <c r="O38" s="52">
        <f t="shared" si="57"/>
        <v>6.5422015983233398E-2</v>
      </c>
      <c r="P38" s="21">
        <f t="shared" si="58"/>
        <v>2.0286020648339487</v>
      </c>
      <c r="Q38" s="19">
        <f t="shared" si="59"/>
        <v>4.0572041296678973</v>
      </c>
      <c r="R38" s="6">
        <f t="shared" si="105"/>
        <v>2.4622707772400307</v>
      </c>
      <c r="S38" s="55">
        <f t="shared" si="60"/>
        <v>0.71250135044283958</v>
      </c>
      <c r="T38" s="133">
        <f t="shared" si="61"/>
        <v>0.68733653058259536</v>
      </c>
      <c r="U38" s="54">
        <f t="shared" si="106"/>
        <v>0.23706792697452767</v>
      </c>
      <c r="V38" s="21">
        <f t="shared" si="107"/>
        <v>4.2182002971133556</v>
      </c>
      <c r="W38" s="21">
        <f t="shared" si="63"/>
        <v>1.185776861683703</v>
      </c>
      <c r="X38" s="63">
        <f t="shared" si="64"/>
        <v>1.0752054527877226</v>
      </c>
      <c r="Y38" s="54">
        <f t="shared" si="108"/>
        <v>0.23706792697452767</v>
      </c>
      <c r="Z38" s="21">
        <f t="shared" si="109"/>
        <v>4.2182002971133556</v>
      </c>
      <c r="AA38" s="21">
        <f t="shared" si="65"/>
        <v>1.185776861683703</v>
      </c>
      <c r="AB38" s="63">
        <f t="shared" si="66"/>
        <v>1.0752054527877226</v>
      </c>
      <c r="AC38" s="52">
        <f t="shared" si="110"/>
        <v>0</v>
      </c>
      <c r="AD38" s="21">
        <f t="shared" si="111"/>
        <v>0</v>
      </c>
      <c r="AE38" s="21">
        <f t="shared" si="67"/>
        <v>0</v>
      </c>
      <c r="AF38" s="63">
        <f t="shared" si="68"/>
        <v>0</v>
      </c>
      <c r="AG38" s="52">
        <f t="shared" si="112"/>
        <v>0</v>
      </c>
      <c r="AH38" s="21">
        <f t="shared" si="113"/>
        <v>0</v>
      </c>
      <c r="AI38" s="21">
        <f t="shared" si="69"/>
        <v>0</v>
      </c>
      <c r="AJ38" s="63">
        <f t="shared" si="70"/>
        <v>0</v>
      </c>
      <c r="AK38" s="52">
        <f t="shared" si="114"/>
        <v>0</v>
      </c>
      <c r="AL38" s="21">
        <f t="shared" si="115"/>
        <v>0</v>
      </c>
      <c r="AM38" s="21">
        <f t="shared" si="71"/>
        <v>0</v>
      </c>
      <c r="AN38" s="63">
        <f t="shared" si="72"/>
        <v>0</v>
      </c>
      <c r="AO38" s="52">
        <f t="shared" si="116"/>
        <v>0</v>
      </c>
      <c r="AP38" s="21">
        <f t="shared" si="117"/>
        <v>0</v>
      </c>
      <c r="AQ38" s="21">
        <f t="shared" si="74"/>
        <v>0</v>
      </c>
      <c r="AR38" s="181">
        <f t="shared" si="75"/>
        <v>0</v>
      </c>
      <c r="AS38" s="52">
        <f t="shared" si="118"/>
        <v>0.15133499330954489</v>
      </c>
      <c r="AT38" s="21">
        <f t="shared" si="119"/>
        <v>1.3215714067592701</v>
      </c>
      <c r="AU38" s="21">
        <f t="shared" si="120"/>
        <v>0.2968244606676107</v>
      </c>
      <c r="AV38" s="63">
        <f t="shared" si="121"/>
        <v>0.2794722892356557</v>
      </c>
      <c r="AW38" s="182">
        <f t="shared" si="76"/>
        <v>9.2209184765179461E-2</v>
      </c>
      <c r="AX38" s="52">
        <f t="shared" si="77"/>
        <v>0</v>
      </c>
      <c r="AY38" s="74">
        <f t="shared" si="78"/>
        <v>0</v>
      </c>
      <c r="AZ38" s="78">
        <f t="shared" si="79"/>
        <v>0</v>
      </c>
      <c r="BA38" s="87">
        <f t="shared" si="80"/>
        <v>0</v>
      </c>
      <c r="BB38" s="110">
        <f t="shared" si="81"/>
        <v>389.58111577303015</v>
      </c>
      <c r="BC38" s="69">
        <f t="shared" si="82"/>
        <v>0.29218583682977262</v>
      </c>
      <c r="BD38" s="42">
        <f t="shared" si="83"/>
        <v>375.77078305839683</v>
      </c>
      <c r="BE38" s="79">
        <f t="shared" si="84"/>
        <v>0.28182808729379766</v>
      </c>
      <c r="BF38" s="117">
        <f t="shared" si="122"/>
        <v>1.1501735036730288E-3</v>
      </c>
      <c r="BG38" s="118">
        <f t="shared" si="123"/>
        <v>1.542519431943051E-2</v>
      </c>
      <c r="BH38" s="117">
        <f t="shared" si="124"/>
        <v>6.1943381790359594E-4</v>
      </c>
      <c r="BI38" s="118">
        <f t="shared" si="125"/>
        <v>2.6865194238630905E-2</v>
      </c>
      <c r="BJ38" s="117">
        <f t="shared" si="126"/>
        <v>6.1943381790359594E-4</v>
      </c>
      <c r="BK38" s="118">
        <f t="shared" si="127"/>
        <v>2.6865194238630905E-2</v>
      </c>
      <c r="BL38" s="91">
        <f t="shared" si="128"/>
        <v>0</v>
      </c>
      <c r="BM38" s="93">
        <f t="shared" si="129"/>
        <v>0</v>
      </c>
      <c r="BN38" s="91">
        <f t="shared" si="130"/>
        <v>0</v>
      </c>
      <c r="BO38" s="93">
        <f t="shared" si="131"/>
        <v>0</v>
      </c>
      <c r="BP38" s="91">
        <f t="shared" si="132"/>
        <v>0</v>
      </c>
      <c r="BQ38" s="93">
        <f t="shared" si="133"/>
        <v>0</v>
      </c>
      <c r="BR38" s="91">
        <f t="shared" si="134"/>
        <v>0</v>
      </c>
      <c r="BS38" s="93">
        <f t="shared" si="135"/>
        <v>0</v>
      </c>
      <c r="BT38" s="188">
        <f t="shared" si="136"/>
        <v>4.7302218821729144E-5</v>
      </c>
      <c r="BU38" s="93">
        <f t="shared" si="137"/>
        <v>3.4650633806579114E-3</v>
      </c>
      <c r="BV38" s="117">
        <f t="shared" si="85"/>
        <v>7.5056989535652166E-2</v>
      </c>
      <c r="BW38" s="206">
        <f t="shared" si="86"/>
        <v>7.5056989535652166E-2</v>
      </c>
      <c r="BX38" s="206">
        <f t="shared" si="87"/>
        <v>7.5056989535652166E-2</v>
      </c>
      <c r="BY38" s="97">
        <f t="shared" si="88"/>
        <v>0.36724282636542477</v>
      </c>
      <c r="BZ38" s="123">
        <f t="shared" si="89"/>
        <v>0.35688507682944981</v>
      </c>
      <c r="CA38" s="91">
        <f t="shared" si="90"/>
        <v>2.4658667676685699E-3</v>
      </c>
      <c r="CB38" s="92">
        <f t="shared" si="138"/>
        <v>2.5000000000000001E-3</v>
      </c>
      <c r="CC38" s="92">
        <f t="shared" si="139"/>
        <v>2.5000000000000001E-3</v>
      </c>
      <c r="CD38" s="92">
        <f t="shared" si="140"/>
        <v>0</v>
      </c>
      <c r="CE38" s="92">
        <f t="shared" si="141"/>
        <v>0</v>
      </c>
      <c r="CF38" s="92">
        <f t="shared" si="142"/>
        <v>0</v>
      </c>
      <c r="CG38" s="92">
        <f t="shared" si="143"/>
        <v>0</v>
      </c>
      <c r="CH38" s="92">
        <f t="shared" si="144"/>
        <v>1.0000000000000002E-4</v>
      </c>
      <c r="CI38" s="127">
        <f t="shared" si="91"/>
        <v>7.5658667676685712E-3</v>
      </c>
      <c r="CJ38" s="91">
        <f t="shared" si="92"/>
        <v>1.7613334054775498E-4</v>
      </c>
      <c r="CK38" s="92">
        <f t="shared" si="145"/>
        <v>0.03</v>
      </c>
      <c r="CL38" s="92">
        <f t="shared" si="146"/>
        <v>0.11549999999999999</v>
      </c>
      <c r="CM38" s="127">
        <f t="shared" si="93"/>
        <v>0.14567613334054774</v>
      </c>
      <c r="CN38" s="91">
        <f t="shared" si="147"/>
        <v>0.15</v>
      </c>
      <c r="CO38" s="92">
        <f t="shared" si="148"/>
        <v>0.15</v>
      </c>
      <c r="CP38" s="92">
        <f t="shared" si="149"/>
        <v>0</v>
      </c>
      <c r="CQ38" s="92">
        <f t="shared" si="150"/>
        <v>0</v>
      </c>
      <c r="CR38" s="92">
        <f t="shared" si="151"/>
        <v>0</v>
      </c>
      <c r="CS38" s="92">
        <f t="shared" si="152"/>
        <v>0</v>
      </c>
      <c r="CT38" s="92">
        <f t="shared" si="153"/>
        <v>0.03</v>
      </c>
      <c r="CU38" s="127">
        <f t="shared" si="154"/>
        <v>0.32999999999999996</v>
      </c>
      <c r="CV38" s="231">
        <f t="shared" si="155"/>
        <v>0.720021994691878</v>
      </c>
      <c r="CW38" s="188">
        <f t="shared" si="156"/>
        <v>1.2032639948000943</v>
      </c>
      <c r="CX38" s="206">
        <f t="shared" si="157"/>
        <v>7.2032639948000945</v>
      </c>
      <c r="CY38" s="231">
        <f t="shared" si="158"/>
        <v>0.83295572733850809</v>
      </c>
      <c r="CZ38">
        <f t="shared" si="159"/>
        <v>44.008964346349742</v>
      </c>
      <c r="DA38">
        <f t="shared" si="160"/>
        <v>661.18021323437085</v>
      </c>
      <c r="DD38" s="22">
        <v>8000</v>
      </c>
      <c r="DE38" s="22">
        <f t="shared" si="94"/>
        <v>50265.482457436687</v>
      </c>
      <c r="DF38" s="91">
        <f t="shared" si="95"/>
        <v>13.499456918333975</v>
      </c>
      <c r="DG38" s="93">
        <f t="shared" si="96"/>
        <v>-78.172293678308534</v>
      </c>
      <c r="DH38" s="91">
        <f t="shared" si="97"/>
        <v>-24.248448783791765</v>
      </c>
      <c r="DI38" s="92">
        <f t="shared" si="98"/>
        <v>164.82335746641161</v>
      </c>
      <c r="DJ38" s="92">
        <f t="shared" si="99"/>
        <v>-26.385578802061197</v>
      </c>
      <c r="DK38" s="93">
        <f t="shared" si="100"/>
        <v>166.16578766280449</v>
      </c>
      <c r="DL38" s="91">
        <f t="shared" si="101"/>
        <v>-10.748991865457791</v>
      </c>
      <c r="DM38" s="92">
        <f t="shared" si="102"/>
        <v>86.651063788103073</v>
      </c>
      <c r="DN38" s="92">
        <f t="shared" si="103"/>
        <v>-12.886121883727222</v>
      </c>
      <c r="DO38" s="93">
        <f t="shared" si="104"/>
        <v>87.993493984495956</v>
      </c>
    </row>
    <row r="39" spans="1:119" x14ac:dyDescent="0.25">
      <c r="A39" t="s">
        <v>418</v>
      </c>
      <c r="B39" s="8">
        <f>VLOOKUP(ILrms_Total_Max_FB_DCM,R4:AV54,30,FALSE)</f>
        <v>0.2968244606676107</v>
      </c>
      <c r="C39" s="185" t="s">
        <v>6</v>
      </c>
      <c r="K39" s="58">
        <v>35</v>
      </c>
      <c r="L39" s="131">
        <f t="shared" si="55"/>
        <v>36.299999999999997</v>
      </c>
      <c r="M39" s="130">
        <f t="shared" si="56"/>
        <v>0.18365472910927458</v>
      </c>
      <c r="N39" s="132">
        <f t="shared" si="0"/>
        <v>9.0532654133085311E-2</v>
      </c>
      <c r="O39" s="52">
        <f t="shared" si="57"/>
        <v>6.4016253656320937E-2</v>
      </c>
      <c r="P39" s="21">
        <f t="shared" si="58"/>
        <v>2.0286020648339487</v>
      </c>
      <c r="Q39" s="19">
        <f t="shared" si="59"/>
        <v>4.0572041296678973</v>
      </c>
      <c r="R39" s="6">
        <f t="shared" si="105"/>
        <v>2.4545742344686428</v>
      </c>
      <c r="S39" s="55">
        <f t="shared" si="60"/>
        <v>0.70480480767145171</v>
      </c>
      <c r="T39" s="133">
        <f t="shared" si="61"/>
        <v>0.68045628617317588</v>
      </c>
      <c r="U39" s="54">
        <f t="shared" si="106"/>
        <v>0.23706792697452767</v>
      </c>
      <c r="V39" s="21">
        <f t="shared" si="107"/>
        <v>4.2182002971133556</v>
      </c>
      <c r="W39" s="21">
        <f t="shared" si="63"/>
        <v>1.185776861683703</v>
      </c>
      <c r="X39" s="63">
        <f t="shared" si="64"/>
        <v>1.0752054527877226</v>
      </c>
      <c r="Y39" s="54">
        <f t="shared" si="108"/>
        <v>0.23706792697452767</v>
      </c>
      <c r="Z39" s="21">
        <f t="shared" si="109"/>
        <v>4.2182002971133556</v>
      </c>
      <c r="AA39" s="21">
        <f t="shared" si="65"/>
        <v>1.185776861683703</v>
      </c>
      <c r="AB39" s="63">
        <f t="shared" si="66"/>
        <v>1.0752054527877226</v>
      </c>
      <c r="AC39" s="52">
        <f t="shared" si="110"/>
        <v>0</v>
      </c>
      <c r="AD39" s="21">
        <f t="shared" si="111"/>
        <v>0</v>
      </c>
      <c r="AE39" s="21">
        <f t="shared" si="67"/>
        <v>0</v>
      </c>
      <c r="AF39" s="63">
        <f t="shared" si="68"/>
        <v>0</v>
      </c>
      <c r="AG39" s="52">
        <f t="shared" si="112"/>
        <v>0</v>
      </c>
      <c r="AH39" s="21">
        <f t="shared" si="113"/>
        <v>0</v>
      </c>
      <c r="AI39" s="21">
        <f t="shared" si="69"/>
        <v>0</v>
      </c>
      <c r="AJ39" s="63">
        <f t="shared" si="70"/>
        <v>0</v>
      </c>
      <c r="AK39" s="52">
        <f t="shared" si="114"/>
        <v>0</v>
      </c>
      <c r="AL39" s="21">
        <f t="shared" si="115"/>
        <v>0</v>
      </c>
      <c r="AM39" s="21">
        <f t="shared" si="71"/>
        <v>0</v>
      </c>
      <c r="AN39" s="63">
        <f t="shared" si="72"/>
        <v>0</v>
      </c>
      <c r="AO39" s="52">
        <f t="shared" si="116"/>
        <v>0</v>
      </c>
      <c r="AP39" s="21">
        <f t="shared" si="117"/>
        <v>0</v>
      </c>
      <c r="AQ39" s="21">
        <f t="shared" si="74"/>
        <v>0</v>
      </c>
      <c r="AR39" s="181">
        <f t="shared" si="75"/>
        <v>0</v>
      </c>
      <c r="AS39" s="52">
        <f t="shared" si="118"/>
        <v>0.15133499330954489</v>
      </c>
      <c r="AT39" s="21">
        <f t="shared" si="119"/>
        <v>1.3215714067592701</v>
      </c>
      <c r="AU39" s="21">
        <f t="shared" si="120"/>
        <v>0.2968244606676107</v>
      </c>
      <c r="AV39" s="63">
        <f t="shared" si="121"/>
        <v>0.2794722892356557</v>
      </c>
      <c r="AW39" s="182">
        <f t="shared" si="76"/>
        <v>9.2209184765179461E-2</v>
      </c>
      <c r="AX39" s="52">
        <f t="shared" si="77"/>
        <v>0</v>
      </c>
      <c r="AY39" s="74">
        <f t="shared" si="78"/>
        <v>0</v>
      </c>
      <c r="AZ39" s="78">
        <f t="shared" si="79"/>
        <v>0</v>
      </c>
      <c r="BA39" s="87">
        <f t="shared" si="80"/>
        <v>0</v>
      </c>
      <c r="BB39" s="110">
        <f t="shared" si="81"/>
        <v>389.58111577303015</v>
      </c>
      <c r="BC39" s="69">
        <f t="shared" si="82"/>
        <v>0.29218583682977262</v>
      </c>
      <c r="BD39" s="42">
        <f t="shared" si="83"/>
        <v>375.77078305839683</v>
      </c>
      <c r="BE39" s="79">
        <f t="shared" si="84"/>
        <v>0.28182808729379766</v>
      </c>
      <c r="BF39" s="117">
        <f t="shared" si="122"/>
        <v>1.1012756144833397E-3</v>
      </c>
      <c r="BG39" s="118">
        <f t="shared" si="123"/>
        <v>1.5117927280189881E-2</v>
      </c>
      <c r="BH39" s="117">
        <f t="shared" si="124"/>
        <v>6.1943381790359594E-4</v>
      </c>
      <c r="BI39" s="118">
        <f t="shared" si="125"/>
        <v>2.6865194238630905E-2</v>
      </c>
      <c r="BJ39" s="117">
        <f t="shared" si="126"/>
        <v>6.1943381790359594E-4</v>
      </c>
      <c r="BK39" s="118">
        <f t="shared" si="127"/>
        <v>2.6865194238630905E-2</v>
      </c>
      <c r="BL39" s="91">
        <f t="shared" si="128"/>
        <v>0</v>
      </c>
      <c r="BM39" s="93">
        <f t="shared" si="129"/>
        <v>0</v>
      </c>
      <c r="BN39" s="91">
        <f t="shared" si="130"/>
        <v>0</v>
      </c>
      <c r="BO39" s="93">
        <f t="shared" si="131"/>
        <v>0</v>
      </c>
      <c r="BP39" s="91">
        <f t="shared" si="132"/>
        <v>0</v>
      </c>
      <c r="BQ39" s="93">
        <f t="shared" si="133"/>
        <v>0</v>
      </c>
      <c r="BR39" s="91">
        <f t="shared" si="134"/>
        <v>0</v>
      </c>
      <c r="BS39" s="93">
        <f t="shared" si="135"/>
        <v>0</v>
      </c>
      <c r="BT39" s="188">
        <f t="shared" si="136"/>
        <v>4.7302218821729144E-5</v>
      </c>
      <c r="BU39" s="93">
        <f t="shared" si="137"/>
        <v>3.4650633806579114E-3</v>
      </c>
      <c r="BV39" s="117">
        <f t="shared" si="85"/>
        <v>7.4700824607221855E-2</v>
      </c>
      <c r="BW39" s="206">
        <f t="shared" si="86"/>
        <v>7.4700824607221855E-2</v>
      </c>
      <c r="BX39" s="206">
        <f t="shared" si="87"/>
        <v>7.4700824607221855E-2</v>
      </c>
      <c r="BY39" s="97">
        <f t="shared" si="88"/>
        <v>0.36688666143699444</v>
      </c>
      <c r="BZ39" s="123">
        <f t="shared" si="89"/>
        <v>0.35652891190101954</v>
      </c>
      <c r="CA39" s="91">
        <f t="shared" si="90"/>
        <v>2.3610341666940723E-3</v>
      </c>
      <c r="CB39" s="92">
        <f t="shared" si="138"/>
        <v>2.5000000000000001E-3</v>
      </c>
      <c r="CC39" s="92">
        <f t="shared" si="139"/>
        <v>2.5000000000000001E-3</v>
      </c>
      <c r="CD39" s="92">
        <f t="shared" si="140"/>
        <v>0</v>
      </c>
      <c r="CE39" s="92">
        <f t="shared" si="141"/>
        <v>0</v>
      </c>
      <c r="CF39" s="92">
        <f t="shared" si="142"/>
        <v>0</v>
      </c>
      <c r="CG39" s="92">
        <f t="shared" si="143"/>
        <v>0</v>
      </c>
      <c r="CH39" s="92">
        <f t="shared" si="144"/>
        <v>1.0000000000000002E-4</v>
      </c>
      <c r="CI39" s="127">
        <f t="shared" si="91"/>
        <v>7.4610341666940727E-3</v>
      </c>
      <c r="CJ39" s="91">
        <f t="shared" si="92"/>
        <v>1.6864529762100513E-4</v>
      </c>
      <c r="CK39" s="92">
        <f t="shared" si="145"/>
        <v>3.0000000000000002E-2</v>
      </c>
      <c r="CL39" s="92">
        <f t="shared" si="146"/>
        <v>0.11549999999999999</v>
      </c>
      <c r="CM39" s="127">
        <f t="shared" si="93"/>
        <v>0.145668645297621</v>
      </c>
      <c r="CN39" s="91">
        <f t="shared" si="147"/>
        <v>0.15</v>
      </c>
      <c r="CO39" s="92">
        <f t="shared" si="148"/>
        <v>0.15</v>
      </c>
      <c r="CP39" s="92">
        <f t="shared" si="149"/>
        <v>0</v>
      </c>
      <c r="CQ39" s="92">
        <f t="shared" si="150"/>
        <v>0</v>
      </c>
      <c r="CR39" s="92">
        <f t="shared" si="151"/>
        <v>0</v>
      </c>
      <c r="CS39" s="92">
        <f t="shared" si="152"/>
        <v>0</v>
      </c>
      <c r="CT39" s="92">
        <f t="shared" si="153"/>
        <v>0.03</v>
      </c>
      <c r="CU39" s="127">
        <f t="shared" si="154"/>
        <v>0.32999999999999996</v>
      </c>
      <c r="CV39" s="231">
        <f t="shared" si="155"/>
        <v>0.71899776058122988</v>
      </c>
      <c r="CW39" s="188">
        <f t="shared" si="156"/>
        <v>1.2021274400455448</v>
      </c>
      <c r="CX39" s="206">
        <f t="shared" si="157"/>
        <v>7.2021274400455448</v>
      </c>
      <c r="CY39" s="231">
        <f t="shared" si="158"/>
        <v>0.8330871745810231</v>
      </c>
      <c r="CZ39">
        <f t="shared" si="159"/>
        <v>44.788964346349744</v>
      </c>
      <c r="DA39">
        <f t="shared" si="160"/>
        <v>661.96021323437083</v>
      </c>
      <c r="DD39" s="22">
        <v>9000</v>
      </c>
      <c r="DE39" s="22">
        <f t="shared" si="94"/>
        <v>56548.667764616279</v>
      </c>
      <c r="DF39" s="91">
        <f t="shared" si="95"/>
        <v>12.511364160702618</v>
      </c>
      <c r="DG39" s="93">
        <f t="shared" si="96"/>
        <v>-79.323587866635179</v>
      </c>
      <c r="DH39" s="91">
        <f t="shared" si="97"/>
        <v>-24.292349856805245</v>
      </c>
      <c r="DI39" s="92">
        <f t="shared" si="98"/>
        <v>164.07842552566575</v>
      </c>
      <c r="DJ39" s="92">
        <f t="shared" si="99"/>
        <v>-26.420536733856107</v>
      </c>
      <c r="DK39" s="93">
        <f t="shared" si="100"/>
        <v>165.57595936238394</v>
      </c>
      <c r="DL39" s="91">
        <f t="shared" si="101"/>
        <v>-11.780985696102627</v>
      </c>
      <c r="DM39" s="92">
        <f t="shared" si="102"/>
        <v>84.754837659030571</v>
      </c>
      <c r="DN39" s="92">
        <f t="shared" si="103"/>
        <v>-13.909172573153489</v>
      </c>
      <c r="DO39" s="93">
        <f t="shared" si="104"/>
        <v>86.252371495748761</v>
      </c>
    </row>
    <row r="40" spans="1:119" x14ac:dyDescent="0.25">
      <c r="A40" s="112" t="s">
        <v>394</v>
      </c>
      <c r="B40" s="112"/>
      <c r="E40" s="1"/>
      <c r="F40" s="1"/>
      <c r="G40" s="1"/>
      <c r="H40" s="1"/>
      <c r="K40" s="58">
        <v>36</v>
      </c>
      <c r="L40" s="131">
        <f t="shared" si="55"/>
        <v>37.08</v>
      </c>
      <c r="M40" s="130">
        <f t="shared" si="56"/>
        <v>0.17979144192736426</v>
      </c>
      <c r="N40" s="132">
        <f t="shared" si="0"/>
        <v>8.8628245550997756E-2</v>
      </c>
      <c r="O40" s="52">
        <f t="shared" si="57"/>
        <v>6.2669633433776975E-2</v>
      </c>
      <c r="P40" s="21">
        <f t="shared" si="58"/>
        <v>2.0286020648339487</v>
      </c>
      <c r="Q40" s="19">
        <f t="shared" si="59"/>
        <v>4.0572041296678973</v>
      </c>
      <c r="R40" s="6">
        <f t="shared" si="105"/>
        <v>2.4471218392194176</v>
      </c>
      <c r="S40" s="55">
        <f t="shared" si="60"/>
        <v>0.69735241242222634</v>
      </c>
      <c r="T40" s="133">
        <f t="shared" si="61"/>
        <v>0.6737769842616903</v>
      </c>
      <c r="U40" s="54">
        <f t="shared" si="106"/>
        <v>0.23706792697452767</v>
      </c>
      <c r="V40" s="21">
        <f t="shared" si="107"/>
        <v>4.2182002971133556</v>
      </c>
      <c r="W40" s="21">
        <f t="shared" si="63"/>
        <v>1.185776861683703</v>
      </c>
      <c r="X40" s="63">
        <f t="shared" si="64"/>
        <v>1.0752054527877226</v>
      </c>
      <c r="Y40" s="54">
        <f t="shared" si="108"/>
        <v>0.23706792697452767</v>
      </c>
      <c r="Z40" s="21">
        <f t="shared" si="109"/>
        <v>4.2182002971133556</v>
      </c>
      <c r="AA40" s="21">
        <f t="shared" si="65"/>
        <v>1.185776861683703</v>
      </c>
      <c r="AB40" s="63">
        <f t="shared" si="66"/>
        <v>1.0752054527877226</v>
      </c>
      <c r="AC40" s="52">
        <f t="shared" si="110"/>
        <v>0</v>
      </c>
      <c r="AD40" s="21">
        <f t="shared" si="111"/>
        <v>0</v>
      </c>
      <c r="AE40" s="21">
        <f t="shared" si="67"/>
        <v>0</v>
      </c>
      <c r="AF40" s="63">
        <f t="shared" si="68"/>
        <v>0</v>
      </c>
      <c r="AG40" s="52">
        <f t="shared" si="112"/>
        <v>0</v>
      </c>
      <c r="AH40" s="21">
        <f t="shared" si="113"/>
        <v>0</v>
      </c>
      <c r="AI40" s="21">
        <f t="shared" si="69"/>
        <v>0</v>
      </c>
      <c r="AJ40" s="63">
        <f t="shared" si="70"/>
        <v>0</v>
      </c>
      <c r="AK40" s="52">
        <f t="shared" si="114"/>
        <v>0</v>
      </c>
      <c r="AL40" s="21">
        <f t="shared" si="115"/>
        <v>0</v>
      </c>
      <c r="AM40" s="21">
        <f t="shared" si="71"/>
        <v>0</v>
      </c>
      <c r="AN40" s="63">
        <f t="shared" si="72"/>
        <v>0</v>
      </c>
      <c r="AO40" s="52">
        <f t="shared" si="116"/>
        <v>0</v>
      </c>
      <c r="AP40" s="21">
        <f t="shared" si="117"/>
        <v>0</v>
      </c>
      <c r="AQ40" s="21">
        <f t="shared" si="74"/>
        <v>0</v>
      </c>
      <c r="AR40" s="181">
        <f t="shared" si="75"/>
        <v>0</v>
      </c>
      <c r="AS40" s="52">
        <f t="shared" si="118"/>
        <v>0.15133499330954489</v>
      </c>
      <c r="AT40" s="21">
        <f t="shared" si="119"/>
        <v>1.3215714067592701</v>
      </c>
      <c r="AU40" s="21">
        <f t="shared" si="120"/>
        <v>0.2968244606676107</v>
      </c>
      <c r="AV40" s="63">
        <f t="shared" si="121"/>
        <v>0.2794722892356557</v>
      </c>
      <c r="AW40" s="182">
        <f t="shared" si="76"/>
        <v>9.2209184765179461E-2</v>
      </c>
      <c r="AX40" s="52">
        <f t="shared" si="77"/>
        <v>0</v>
      </c>
      <c r="AY40" s="74">
        <f t="shared" si="78"/>
        <v>0</v>
      </c>
      <c r="AZ40" s="78">
        <f t="shared" si="79"/>
        <v>0</v>
      </c>
      <c r="BA40" s="87">
        <f t="shared" si="80"/>
        <v>0</v>
      </c>
      <c r="BB40" s="110">
        <f t="shared" si="81"/>
        <v>389.58111577303015</v>
      </c>
      <c r="BC40" s="69">
        <f t="shared" si="82"/>
        <v>0.29218583682977262</v>
      </c>
      <c r="BD40" s="42">
        <f t="shared" si="83"/>
        <v>375.77078305839683</v>
      </c>
      <c r="BE40" s="79">
        <f t="shared" si="84"/>
        <v>0.28182808729379766</v>
      </c>
      <c r="BF40" s="117">
        <f t="shared" si="122"/>
        <v>1.0554309412115091E-3</v>
      </c>
      <c r="BG40" s="118">
        <f t="shared" si="123"/>
        <v>1.482259131004625E-2</v>
      </c>
      <c r="BH40" s="117">
        <f t="shared" si="124"/>
        <v>6.1943381790359594E-4</v>
      </c>
      <c r="BI40" s="118">
        <f t="shared" si="125"/>
        <v>2.6865194238630905E-2</v>
      </c>
      <c r="BJ40" s="117">
        <f t="shared" si="126"/>
        <v>6.1943381790359594E-4</v>
      </c>
      <c r="BK40" s="118">
        <f t="shared" si="127"/>
        <v>2.6865194238630905E-2</v>
      </c>
      <c r="BL40" s="91">
        <f t="shared" si="128"/>
        <v>0</v>
      </c>
      <c r="BM40" s="93">
        <f t="shared" si="129"/>
        <v>0</v>
      </c>
      <c r="BN40" s="91">
        <f t="shared" si="130"/>
        <v>0</v>
      </c>
      <c r="BO40" s="93">
        <f t="shared" si="131"/>
        <v>0</v>
      </c>
      <c r="BP40" s="91">
        <f t="shared" si="132"/>
        <v>0</v>
      </c>
      <c r="BQ40" s="93">
        <f t="shared" si="133"/>
        <v>0</v>
      </c>
      <c r="BR40" s="91">
        <f t="shared" si="134"/>
        <v>0</v>
      </c>
      <c r="BS40" s="93">
        <f t="shared" si="135"/>
        <v>0</v>
      </c>
      <c r="BT40" s="188">
        <f t="shared" si="136"/>
        <v>4.7302218821729144E-5</v>
      </c>
      <c r="BU40" s="93">
        <f t="shared" si="137"/>
        <v>3.4650633806579114E-3</v>
      </c>
      <c r="BV40" s="117">
        <f t="shared" si="85"/>
        <v>7.4359643963806399E-2</v>
      </c>
      <c r="BW40" s="206">
        <f t="shared" si="86"/>
        <v>7.4359643963806399E-2</v>
      </c>
      <c r="BX40" s="206">
        <f t="shared" si="87"/>
        <v>7.4359643963806399E-2</v>
      </c>
      <c r="BY40" s="97">
        <f t="shared" si="88"/>
        <v>0.36654548079357901</v>
      </c>
      <c r="BZ40" s="123">
        <f t="shared" si="89"/>
        <v>0.35618773125760406</v>
      </c>
      <c r="CA40" s="91">
        <f t="shared" si="90"/>
        <v>2.2627473813224561E-3</v>
      </c>
      <c r="CB40" s="92">
        <f t="shared" si="138"/>
        <v>2.5000000000000001E-3</v>
      </c>
      <c r="CC40" s="92">
        <f t="shared" si="139"/>
        <v>2.5000000000000001E-3</v>
      </c>
      <c r="CD40" s="92">
        <f t="shared" si="140"/>
        <v>0</v>
      </c>
      <c r="CE40" s="92">
        <f t="shared" si="141"/>
        <v>0</v>
      </c>
      <c r="CF40" s="92">
        <f t="shared" si="142"/>
        <v>0</v>
      </c>
      <c r="CG40" s="92">
        <f t="shared" si="143"/>
        <v>0</v>
      </c>
      <c r="CH40" s="92">
        <f t="shared" si="144"/>
        <v>1.0000000000000002E-4</v>
      </c>
      <c r="CI40" s="127">
        <f t="shared" si="91"/>
        <v>7.3627473813224565E-3</v>
      </c>
      <c r="CJ40" s="91">
        <f t="shared" si="92"/>
        <v>1.6162481295160398E-4</v>
      </c>
      <c r="CK40" s="92">
        <f t="shared" si="145"/>
        <v>3.0000000000000002E-2</v>
      </c>
      <c r="CL40" s="92">
        <f t="shared" si="146"/>
        <v>0.11549999999999999</v>
      </c>
      <c r="CM40" s="127">
        <f t="shared" si="93"/>
        <v>0.14566162481295158</v>
      </c>
      <c r="CN40" s="91">
        <f t="shared" si="147"/>
        <v>0.15</v>
      </c>
      <c r="CO40" s="92">
        <f t="shared" si="148"/>
        <v>0.15</v>
      </c>
      <c r="CP40" s="92">
        <f t="shared" si="149"/>
        <v>0</v>
      </c>
      <c r="CQ40" s="92">
        <f t="shared" si="150"/>
        <v>0</v>
      </c>
      <c r="CR40" s="92">
        <f t="shared" si="151"/>
        <v>0</v>
      </c>
      <c r="CS40" s="92">
        <f t="shared" si="152"/>
        <v>0</v>
      </c>
      <c r="CT40" s="92">
        <f t="shared" si="153"/>
        <v>0.03</v>
      </c>
      <c r="CU40" s="127">
        <f t="shared" si="154"/>
        <v>0.32999999999999996</v>
      </c>
      <c r="CV40" s="231">
        <f t="shared" si="155"/>
        <v>0.71795115105557283</v>
      </c>
      <c r="CW40" s="188">
        <f t="shared" si="156"/>
        <v>1.2009755232498467</v>
      </c>
      <c r="CX40" s="206">
        <f t="shared" si="157"/>
        <v>7.2009755232498467</v>
      </c>
      <c r="CY40" s="231">
        <f t="shared" si="158"/>
        <v>0.83322044084551494</v>
      </c>
      <c r="CZ40">
        <f t="shared" si="159"/>
        <v>45.568964346349745</v>
      </c>
      <c r="DA40">
        <f t="shared" si="160"/>
        <v>662.74021323437091</v>
      </c>
      <c r="DD40" s="22">
        <v>10000</v>
      </c>
      <c r="DE40" s="22">
        <f t="shared" si="94"/>
        <v>62831.853071795864</v>
      </c>
      <c r="DF40" s="91">
        <f t="shared" si="95"/>
        <v>11.621438875032748</v>
      </c>
      <c r="DG40" s="93">
        <f t="shared" si="96"/>
        <v>-80.236976816652714</v>
      </c>
      <c r="DH40" s="91">
        <f t="shared" si="97"/>
        <v>-24.338528033902307</v>
      </c>
      <c r="DI40" s="92">
        <f t="shared" si="98"/>
        <v>163.24054519840053</v>
      </c>
      <c r="DJ40" s="92">
        <f t="shared" si="99"/>
        <v>-26.456884918858631</v>
      </c>
      <c r="DK40" s="93">
        <f t="shared" si="100"/>
        <v>164.88949742962708</v>
      </c>
      <c r="DL40" s="91">
        <f t="shared" si="101"/>
        <v>-12.717089158869559</v>
      </c>
      <c r="DM40" s="92">
        <f t="shared" si="102"/>
        <v>83.003568381747812</v>
      </c>
      <c r="DN40" s="92">
        <f t="shared" si="103"/>
        <v>-14.835446043825883</v>
      </c>
      <c r="DO40" s="93">
        <f t="shared" si="104"/>
        <v>84.652520612974371</v>
      </c>
    </row>
    <row r="41" spans="1:119" x14ac:dyDescent="0.25">
      <c r="A41" s="12" t="s">
        <v>395</v>
      </c>
      <c r="B41" s="19">
        <f>IF(AND(Vout1&lt;&gt;0,Iout1&lt;&gt;0,Vout1_Ripple&lt;&gt;0),(Iout1*B7)/(Fsw*Vout1_Ripple*(10^-3)),0)</f>
        <v>1.2171612389003691E-5</v>
      </c>
      <c r="C41" s="12" t="s">
        <v>351</v>
      </c>
      <c r="K41" s="58">
        <v>37</v>
      </c>
      <c r="L41" s="131">
        <f t="shared" si="55"/>
        <v>37.86</v>
      </c>
      <c r="M41" s="130">
        <f t="shared" si="56"/>
        <v>0.17608733932030288</v>
      </c>
      <c r="N41" s="132">
        <f t="shared" si="0"/>
        <v>8.6802307053116659E-2</v>
      </c>
      <c r="O41" s="52">
        <f t="shared" si="57"/>
        <v>6.1378499939895671E-2</v>
      </c>
      <c r="P41" s="21">
        <f t="shared" si="58"/>
        <v>2.0286020648339487</v>
      </c>
      <c r="Q41" s="19">
        <f t="shared" si="59"/>
        <v>4.0572041296678973</v>
      </c>
      <c r="R41" s="6">
        <f t="shared" si="105"/>
        <v>2.4399009506255918</v>
      </c>
      <c r="S41" s="55">
        <f t="shared" si="60"/>
        <v>0.69013152382840048</v>
      </c>
      <c r="T41" s="133">
        <f t="shared" si="61"/>
        <v>0.66728911958221426</v>
      </c>
      <c r="U41" s="54">
        <f t="shared" si="106"/>
        <v>0.23706792697452767</v>
      </c>
      <c r="V41" s="21">
        <f t="shared" si="107"/>
        <v>4.2182002971133556</v>
      </c>
      <c r="W41" s="21">
        <f t="shared" si="63"/>
        <v>1.185776861683703</v>
      </c>
      <c r="X41" s="63">
        <f t="shared" si="64"/>
        <v>1.0752054527877226</v>
      </c>
      <c r="Y41" s="54">
        <f t="shared" si="108"/>
        <v>0.23706792697452767</v>
      </c>
      <c r="Z41" s="21">
        <f t="shared" si="109"/>
        <v>4.2182002971133556</v>
      </c>
      <c r="AA41" s="21">
        <f t="shared" si="65"/>
        <v>1.185776861683703</v>
      </c>
      <c r="AB41" s="63">
        <f t="shared" si="66"/>
        <v>1.0752054527877226</v>
      </c>
      <c r="AC41" s="52">
        <f t="shared" si="110"/>
        <v>0</v>
      </c>
      <c r="AD41" s="21">
        <f t="shared" si="111"/>
        <v>0</v>
      </c>
      <c r="AE41" s="21">
        <f t="shared" si="67"/>
        <v>0</v>
      </c>
      <c r="AF41" s="63">
        <f t="shared" si="68"/>
        <v>0</v>
      </c>
      <c r="AG41" s="52">
        <f t="shared" si="112"/>
        <v>0</v>
      </c>
      <c r="AH41" s="21">
        <f t="shared" si="113"/>
        <v>0</v>
      </c>
      <c r="AI41" s="21">
        <f t="shared" si="69"/>
        <v>0</v>
      </c>
      <c r="AJ41" s="63">
        <f t="shared" si="70"/>
        <v>0</v>
      </c>
      <c r="AK41" s="52">
        <f t="shared" si="114"/>
        <v>0</v>
      </c>
      <c r="AL41" s="21">
        <f t="shared" si="115"/>
        <v>0</v>
      </c>
      <c r="AM41" s="21">
        <f t="shared" si="71"/>
        <v>0</v>
      </c>
      <c r="AN41" s="63">
        <f t="shared" si="72"/>
        <v>0</v>
      </c>
      <c r="AO41" s="52">
        <f t="shared" si="116"/>
        <v>0</v>
      </c>
      <c r="AP41" s="21">
        <f t="shared" si="117"/>
        <v>0</v>
      </c>
      <c r="AQ41" s="21">
        <f t="shared" si="74"/>
        <v>0</v>
      </c>
      <c r="AR41" s="181">
        <f t="shared" si="75"/>
        <v>0</v>
      </c>
      <c r="AS41" s="52">
        <f t="shared" si="118"/>
        <v>0.15133499330954489</v>
      </c>
      <c r="AT41" s="21">
        <f t="shared" si="119"/>
        <v>1.3215714067592701</v>
      </c>
      <c r="AU41" s="21">
        <f t="shared" si="120"/>
        <v>0.2968244606676107</v>
      </c>
      <c r="AV41" s="63">
        <f t="shared" si="121"/>
        <v>0.2794722892356557</v>
      </c>
      <c r="AW41" s="182">
        <f t="shared" si="76"/>
        <v>9.2209184765179461E-2</v>
      </c>
      <c r="AX41" s="52">
        <f t="shared" si="77"/>
        <v>0</v>
      </c>
      <c r="AY41" s="74">
        <f t="shared" si="78"/>
        <v>0</v>
      </c>
      <c r="AZ41" s="78">
        <f t="shared" si="79"/>
        <v>0</v>
      </c>
      <c r="BA41" s="87">
        <f t="shared" si="80"/>
        <v>0</v>
      </c>
      <c r="BB41" s="110">
        <f t="shared" si="81"/>
        <v>389.58111577303015</v>
      </c>
      <c r="BC41" s="69">
        <f t="shared" si="82"/>
        <v>0.29218583682977262</v>
      </c>
      <c r="BD41" s="42">
        <f t="shared" si="83"/>
        <v>375.77078305839683</v>
      </c>
      <c r="BE41" s="79">
        <f t="shared" si="84"/>
        <v>0.28182808729379766</v>
      </c>
      <c r="BF41" s="117">
        <f t="shared" si="122"/>
        <v>1.0123904822201683E-3</v>
      </c>
      <c r="BG41" s="118">
        <f t="shared" si="123"/>
        <v>1.4538509282086165E-2</v>
      </c>
      <c r="BH41" s="117">
        <f t="shared" si="124"/>
        <v>6.1943381790359594E-4</v>
      </c>
      <c r="BI41" s="118">
        <f t="shared" si="125"/>
        <v>2.6865194238630905E-2</v>
      </c>
      <c r="BJ41" s="117">
        <f t="shared" si="126"/>
        <v>6.1943381790359594E-4</v>
      </c>
      <c r="BK41" s="118">
        <f t="shared" si="127"/>
        <v>2.6865194238630905E-2</v>
      </c>
      <c r="BL41" s="91">
        <f t="shared" si="128"/>
        <v>0</v>
      </c>
      <c r="BM41" s="93">
        <f t="shared" si="129"/>
        <v>0</v>
      </c>
      <c r="BN41" s="91">
        <f t="shared" si="130"/>
        <v>0</v>
      </c>
      <c r="BO41" s="93">
        <f t="shared" si="131"/>
        <v>0</v>
      </c>
      <c r="BP41" s="91">
        <f t="shared" si="132"/>
        <v>0</v>
      </c>
      <c r="BQ41" s="93">
        <f t="shared" si="133"/>
        <v>0</v>
      </c>
      <c r="BR41" s="91">
        <f t="shared" si="134"/>
        <v>0</v>
      </c>
      <c r="BS41" s="93">
        <f t="shared" si="135"/>
        <v>0</v>
      </c>
      <c r="BT41" s="188">
        <f t="shared" si="136"/>
        <v>4.7302218821729144E-5</v>
      </c>
      <c r="BU41" s="93">
        <f t="shared" si="137"/>
        <v>3.4650633806579114E-3</v>
      </c>
      <c r="BV41" s="117">
        <f t="shared" si="85"/>
        <v>7.4032521476854962E-2</v>
      </c>
      <c r="BW41" s="206">
        <f t="shared" si="86"/>
        <v>7.4032521476854962E-2</v>
      </c>
      <c r="BX41" s="206">
        <f t="shared" si="87"/>
        <v>7.4032521476854962E-2</v>
      </c>
      <c r="BY41" s="97">
        <f t="shared" si="88"/>
        <v>0.36621835830662758</v>
      </c>
      <c r="BZ41" s="123">
        <f t="shared" si="89"/>
        <v>0.35586060877065262</v>
      </c>
      <c r="CA41" s="91">
        <f t="shared" si="90"/>
        <v>2.1704725748232438E-3</v>
      </c>
      <c r="CB41" s="92">
        <f t="shared" si="138"/>
        <v>2.5000000000000001E-3</v>
      </c>
      <c r="CC41" s="92">
        <f t="shared" si="139"/>
        <v>2.5000000000000001E-3</v>
      </c>
      <c r="CD41" s="92">
        <f t="shared" si="140"/>
        <v>0</v>
      </c>
      <c r="CE41" s="92">
        <f t="shared" si="141"/>
        <v>0</v>
      </c>
      <c r="CF41" s="92">
        <f t="shared" si="142"/>
        <v>0</v>
      </c>
      <c r="CG41" s="92">
        <f t="shared" si="143"/>
        <v>0</v>
      </c>
      <c r="CH41" s="92">
        <f t="shared" si="144"/>
        <v>1.0000000000000002E-4</v>
      </c>
      <c r="CI41" s="127">
        <f t="shared" si="91"/>
        <v>7.2704725748232437E-3</v>
      </c>
      <c r="CJ41" s="91">
        <f t="shared" si="92"/>
        <v>1.5503375534451741E-4</v>
      </c>
      <c r="CK41" s="92">
        <f t="shared" si="145"/>
        <v>3.0000000000000002E-2</v>
      </c>
      <c r="CL41" s="92">
        <f t="shared" si="146"/>
        <v>0.11549999999999999</v>
      </c>
      <c r="CM41" s="127">
        <f t="shared" si="93"/>
        <v>0.1456550337553445</v>
      </c>
      <c r="CN41" s="91">
        <f t="shared" si="147"/>
        <v>0.15</v>
      </c>
      <c r="CO41" s="92">
        <f t="shared" si="148"/>
        <v>0.15</v>
      </c>
      <c r="CP41" s="92">
        <f t="shared" si="149"/>
        <v>0</v>
      </c>
      <c r="CQ41" s="92">
        <f t="shared" si="150"/>
        <v>0</v>
      </c>
      <c r="CR41" s="92">
        <f t="shared" si="151"/>
        <v>0</v>
      </c>
      <c r="CS41" s="92">
        <f t="shared" si="152"/>
        <v>0</v>
      </c>
      <c r="CT41" s="92">
        <f t="shared" si="153"/>
        <v>0.03</v>
      </c>
      <c r="CU41" s="127">
        <f t="shared" si="154"/>
        <v>0.32999999999999996</v>
      </c>
      <c r="CV41" s="231">
        <f t="shared" si="155"/>
        <v>0.7168814247976355</v>
      </c>
      <c r="CW41" s="188">
        <f t="shared" si="156"/>
        <v>1.1998069311278032</v>
      </c>
      <c r="CX41" s="206">
        <f t="shared" si="157"/>
        <v>7.199806931127803</v>
      </c>
      <c r="CY41" s="231">
        <f t="shared" si="158"/>
        <v>0.83335567986684045</v>
      </c>
      <c r="CZ41">
        <f t="shared" si="159"/>
        <v>46.348964346349746</v>
      </c>
      <c r="DA41">
        <f t="shared" si="160"/>
        <v>663.52021323437089</v>
      </c>
      <c r="DD41" s="22">
        <v>20000</v>
      </c>
      <c r="DE41" s="22">
        <f t="shared" si="94"/>
        <v>125663.70614359173</v>
      </c>
      <c r="DF41" s="91">
        <f t="shared" si="95"/>
        <v>5.6841181736363202</v>
      </c>
      <c r="DG41" s="93">
        <f t="shared" si="96"/>
        <v>-84.010437770269505</v>
      </c>
      <c r="DH41" s="91">
        <f t="shared" si="97"/>
        <v>-24.963286381370718</v>
      </c>
      <c r="DI41" s="92">
        <f t="shared" si="98"/>
        <v>153.38182433539185</v>
      </c>
      <c r="DJ41" s="92">
        <f t="shared" si="99"/>
        <v>-26.945932258911913</v>
      </c>
      <c r="DK41" s="93">
        <f t="shared" si="100"/>
        <v>156.28771487223602</v>
      </c>
      <c r="DL41" s="91">
        <f t="shared" si="101"/>
        <v>-19.279168207734397</v>
      </c>
      <c r="DM41" s="92">
        <f t="shared" si="102"/>
        <v>69.37138656512235</v>
      </c>
      <c r="DN41" s="92">
        <f t="shared" si="103"/>
        <v>-21.261814085275592</v>
      </c>
      <c r="DO41" s="93">
        <f t="shared" si="104"/>
        <v>72.277277101966519</v>
      </c>
    </row>
    <row r="42" spans="1:119" x14ac:dyDescent="0.25">
      <c r="A42" s="12" t="s">
        <v>396</v>
      </c>
      <c r="B42" s="190">
        <f>COUT1_FlyB_DCM</f>
        <v>1.9999999999999998E-5</v>
      </c>
      <c r="C42" s="12" t="s">
        <v>351</v>
      </c>
      <c r="K42" s="58">
        <v>38</v>
      </c>
      <c r="L42" s="131">
        <f t="shared" si="55"/>
        <v>38.64</v>
      </c>
      <c r="M42" s="130">
        <f t="shared" si="56"/>
        <v>0.17253278122843338</v>
      </c>
      <c r="N42" s="132">
        <f t="shared" si="0"/>
        <v>8.5050086569125161E-2</v>
      </c>
      <c r="O42" s="52">
        <f t="shared" si="57"/>
        <v>6.0139492953531312E-2</v>
      </c>
      <c r="P42" s="21">
        <f t="shared" si="58"/>
        <v>2.0286020648339487</v>
      </c>
      <c r="Q42" s="19">
        <f t="shared" si="59"/>
        <v>4.0572041296678973</v>
      </c>
      <c r="R42" s="6">
        <f t="shared" si="105"/>
        <v>2.4328998255269836</v>
      </c>
      <c r="S42" s="55">
        <f t="shared" si="60"/>
        <v>0.68313039872979253</v>
      </c>
      <c r="T42" s="133">
        <f t="shared" si="61"/>
        <v>0.66098379788789596</v>
      </c>
      <c r="U42" s="54">
        <f t="shared" si="106"/>
        <v>0.23706792697452767</v>
      </c>
      <c r="V42" s="21">
        <f t="shared" si="107"/>
        <v>4.2182002971133556</v>
      </c>
      <c r="W42" s="21">
        <f t="shared" si="63"/>
        <v>1.185776861683703</v>
      </c>
      <c r="X42" s="63">
        <f t="shared" si="64"/>
        <v>1.0752054527877226</v>
      </c>
      <c r="Y42" s="54">
        <f t="shared" si="108"/>
        <v>0.23706792697452767</v>
      </c>
      <c r="Z42" s="21">
        <f t="shared" si="109"/>
        <v>4.2182002971133556</v>
      </c>
      <c r="AA42" s="21">
        <f t="shared" si="65"/>
        <v>1.185776861683703</v>
      </c>
      <c r="AB42" s="63">
        <f t="shared" si="66"/>
        <v>1.0752054527877226</v>
      </c>
      <c r="AC42" s="52">
        <f t="shared" si="110"/>
        <v>0</v>
      </c>
      <c r="AD42" s="21">
        <f t="shared" si="111"/>
        <v>0</v>
      </c>
      <c r="AE42" s="21">
        <f t="shared" si="67"/>
        <v>0</v>
      </c>
      <c r="AF42" s="63">
        <f t="shared" si="68"/>
        <v>0</v>
      </c>
      <c r="AG42" s="52">
        <f t="shared" si="112"/>
        <v>0</v>
      </c>
      <c r="AH42" s="21">
        <f t="shared" si="113"/>
        <v>0</v>
      </c>
      <c r="AI42" s="21">
        <f t="shared" si="69"/>
        <v>0</v>
      </c>
      <c r="AJ42" s="63">
        <f t="shared" si="70"/>
        <v>0</v>
      </c>
      <c r="AK42" s="52">
        <f t="shared" si="114"/>
        <v>0</v>
      </c>
      <c r="AL42" s="21">
        <f t="shared" si="115"/>
        <v>0</v>
      </c>
      <c r="AM42" s="21">
        <f t="shared" si="71"/>
        <v>0</v>
      </c>
      <c r="AN42" s="63">
        <f t="shared" si="72"/>
        <v>0</v>
      </c>
      <c r="AO42" s="52">
        <f t="shared" si="116"/>
        <v>0</v>
      </c>
      <c r="AP42" s="21">
        <f t="shared" si="117"/>
        <v>0</v>
      </c>
      <c r="AQ42" s="21">
        <f t="shared" si="74"/>
        <v>0</v>
      </c>
      <c r="AR42" s="181">
        <f t="shared" si="75"/>
        <v>0</v>
      </c>
      <c r="AS42" s="52">
        <f t="shared" si="118"/>
        <v>0.15133499330954489</v>
      </c>
      <c r="AT42" s="21">
        <f t="shared" si="119"/>
        <v>1.3215714067592701</v>
      </c>
      <c r="AU42" s="21">
        <f t="shared" si="120"/>
        <v>0.2968244606676107</v>
      </c>
      <c r="AV42" s="63">
        <f t="shared" si="121"/>
        <v>0.2794722892356557</v>
      </c>
      <c r="AW42" s="182">
        <f t="shared" si="76"/>
        <v>9.2209184765179461E-2</v>
      </c>
      <c r="AX42" s="52">
        <f t="shared" si="77"/>
        <v>0</v>
      </c>
      <c r="AY42" s="74">
        <f t="shared" si="78"/>
        <v>0</v>
      </c>
      <c r="AZ42" s="78">
        <f t="shared" si="79"/>
        <v>0</v>
      </c>
      <c r="BA42" s="87">
        <f t="shared" si="80"/>
        <v>0</v>
      </c>
      <c r="BB42" s="110">
        <f t="shared" si="81"/>
        <v>389.58111577303015</v>
      </c>
      <c r="BC42" s="69">
        <f t="shared" si="82"/>
        <v>0.29218583682977262</v>
      </c>
      <c r="BD42" s="42">
        <f t="shared" si="83"/>
        <v>375.77078305839683</v>
      </c>
      <c r="BE42" s="79">
        <f t="shared" si="84"/>
        <v>0.28182808729379766</v>
      </c>
      <c r="BF42" s="117">
        <f t="shared" si="122"/>
        <v>9.7193011166444253E-4</v>
      </c>
      <c r="BG42" s="118">
        <f t="shared" si="123"/>
        <v>1.426505397416987E-2</v>
      </c>
      <c r="BH42" s="117">
        <f t="shared" si="124"/>
        <v>6.1943381790359594E-4</v>
      </c>
      <c r="BI42" s="118">
        <f t="shared" si="125"/>
        <v>2.6865194238630905E-2</v>
      </c>
      <c r="BJ42" s="117">
        <f t="shared" si="126"/>
        <v>6.1943381790359594E-4</v>
      </c>
      <c r="BK42" s="118">
        <f t="shared" si="127"/>
        <v>2.6865194238630905E-2</v>
      </c>
      <c r="BL42" s="91">
        <f t="shared" si="128"/>
        <v>0</v>
      </c>
      <c r="BM42" s="93">
        <f t="shared" si="129"/>
        <v>0</v>
      </c>
      <c r="BN42" s="91">
        <f t="shared" si="130"/>
        <v>0</v>
      </c>
      <c r="BO42" s="93">
        <f t="shared" si="131"/>
        <v>0</v>
      </c>
      <c r="BP42" s="91">
        <f t="shared" si="132"/>
        <v>0</v>
      </c>
      <c r="BQ42" s="93">
        <f t="shared" si="133"/>
        <v>0</v>
      </c>
      <c r="BR42" s="91">
        <f t="shared" si="134"/>
        <v>0</v>
      </c>
      <c r="BS42" s="93">
        <f t="shared" si="135"/>
        <v>0</v>
      </c>
      <c r="BT42" s="188">
        <f t="shared" si="136"/>
        <v>4.7302218821729144E-5</v>
      </c>
      <c r="BU42" s="93">
        <f t="shared" si="137"/>
        <v>3.4650633806579114E-3</v>
      </c>
      <c r="BV42" s="117">
        <f t="shared" si="85"/>
        <v>7.371860579838295E-2</v>
      </c>
      <c r="BW42" s="206">
        <f t="shared" si="86"/>
        <v>7.371860579838295E-2</v>
      </c>
      <c r="BX42" s="206">
        <f t="shared" si="87"/>
        <v>7.371860579838295E-2</v>
      </c>
      <c r="BY42" s="97">
        <f t="shared" si="88"/>
        <v>0.36590444262815558</v>
      </c>
      <c r="BZ42" s="123">
        <f t="shared" si="89"/>
        <v>0.35554669309218062</v>
      </c>
      <c r="CA42" s="91">
        <f t="shared" si="90"/>
        <v>2.0837292418892919E-3</v>
      </c>
      <c r="CB42" s="92">
        <f t="shared" si="138"/>
        <v>2.5000000000000001E-3</v>
      </c>
      <c r="CC42" s="92">
        <f t="shared" si="139"/>
        <v>2.5000000000000001E-3</v>
      </c>
      <c r="CD42" s="92">
        <f t="shared" si="140"/>
        <v>0</v>
      </c>
      <c r="CE42" s="92">
        <f t="shared" si="141"/>
        <v>0</v>
      </c>
      <c r="CF42" s="92">
        <f t="shared" si="142"/>
        <v>0</v>
      </c>
      <c r="CG42" s="92">
        <f t="shared" si="143"/>
        <v>0</v>
      </c>
      <c r="CH42" s="92">
        <f t="shared" si="144"/>
        <v>1.0000000000000002E-4</v>
      </c>
      <c r="CI42" s="127">
        <f t="shared" si="91"/>
        <v>7.1837292418892923E-3</v>
      </c>
      <c r="CJ42" s="91">
        <f t="shared" si="92"/>
        <v>1.4883780299209225E-4</v>
      </c>
      <c r="CK42" s="92">
        <f t="shared" si="145"/>
        <v>0.03</v>
      </c>
      <c r="CL42" s="92">
        <f t="shared" si="146"/>
        <v>0.11549999999999999</v>
      </c>
      <c r="CM42" s="127">
        <f t="shared" si="93"/>
        <v>0.14564883780299209</v>
      </c>
      <c r="CN42" s="91">
        <f t="shared" si="147"/>
        <v>0.15</v>
      </c>
      <c r="CO42" s="92">
        <f t="shared" si="148"/>
        <v>0.15</v>
      </c>
      <c r="CP42" s="92">
        <f t="shared" si="149"/>
        <v>0</v>
      </c>
      <c r="CQ42" s="92">
        <f t="shared" si="150"/>
        <v>0</v>
      </c>
      <c r="CR42" s="92">
        <f t="shared" si="151"/>
        <v>0</v>
      </c>
      <c r="CS42" s="92">
        <f t="shared" si="152"/>
        <v>0</v>
      </c>
      <c r="CT42" s="92">
        <f t="shared" si="153"/>
        <v>0.03</v>
      </c>
      <c r="CU42" s="127">
        <f t="shared" si="154"/>
        <v>0.32999999999999996</v>
      </c>
      <c r="CV42" s="231">
        <f t="shared" si="155"/>
        <v>0.71578780737713044</v>
      </c>
      <c r="CW42" s="188">
        <f t="shared" si="156"/>
        <v>1.1986203744220116</v>
      </c>
      <c r="CX42" s="206">
        <f t="shared" si="157"/>
        <v>7.1986203744220116</v>
      </c>
      <c r="CY42" s="231">
        <f t="shared" si="158"/>
        <v>0.83349304282235459</v>
      </c>
      <c r="CZ42">
        <f t="shared" si="159"/>
        <v>47.128964346349747</v>
      </c>
      <c r="DA42">
        <f t="shared" si="160"/>
        <v>664.30021323437086</v>
      </c>
      <c r="DD42" s="22">
        <v>30000</v>
      </c>
      <c r="DE42" s="22">
        <f t="shared" si="94"/>
        <v>188495.55921538759</v>
      </c>
      <c r="DF42" s="91">
        <f t="shared" si="95"/>
        <v>2.1809278832598693</v>
      </c>
      <c r="DG42" s="93">
        <f t="shared" si="96"/>
        <v>-84.804233755447868</v>
      </c>
      <c r="DH42" s="91">
        <f t="shared" si="97"/>
        <v>-25.824363111801169</v>
      </c>
      <c r="DI42" s="92">
        <f t="shared" si="98"/>
        <v>144.10873151669952</v>
      </c>
      <c r="DJ42" s="92">
        <f t="shared" si="99"/>
        <v>-27.640049645267268</v>
      </c>
      <c r="DK42" s="93">
        <f t="shared" si="100"/>
        <v>147.75484000852722</v>
      </c>
      <c r="DL42" s="91">
        <f t="shared" si="101"/>
        <v>-23.6434352285413</v>
      </c>
      <c r="DM42" s="92">
        <f t="shared" si="102"/>
        <v>59.304497761251653</v>
      </c>
      <c r="DN42" s="92">
        <f t="shared" si="103"/>
        <v>-25.459121762007399</v>
      </c>
      <c r="DO42" s="93">
        <f t="shared" si="104"/>
        <v>62.950606253079357</v>
      </c>
    </row>
    <row r="43" spans="1:119" x14ac:dyDescent="0.25">
      <c r="A43" s="12" t="s">
        <v>397</v>
      </c>
      <c r="B43" s="190">
        <f>IF(AND(Vout2&lt;&gt;0,Iout2&lt;&gt;0,Vout2_Ripple&lt;&gt;0),(Iout2*B7)/(Fsw*Vout2_Ripple*(10^-3)),0)</f>
        <v>1.2171612389003691E-5</v>
      </c>
      <c r="C43" s="12" t="s">
        <v>351</v>
      </c>
      <c r="K43" s="58">
        <v>39</v>
      </c>
      <c r="L43" s="131">
        <f t="shared" si="55"/>
        <v>39.42</v>
      </c>
      <c r="M43" s="130">
        <f t="shared" si="56"/>
        <v>0.16911889058007779</v>
      </c>
      <c r="N43" s="132">
        <f t="shared" si="0"/>
        <v>8.3367208143860894E-2</v>
      </c>
      <c r="O43" s="52">
        <f t="shared" si="57"/>
        <v>5.8949518207114408E-2</v>
      </c>
      <c r="P43" s="21">
        <f t="shared" si="58"/>
        <v>2.0286020648339487</v>
      </c>
      <c r="Q43" s="19">
        <f t="shared" si="59"/>
        <v>4.0572041296678973</v>
      </c>
      <c r="R43" s="6">
        <f t="shared" si="105"/>
        <v>2.426107538132217</v>
      </c>
      <c r="S43" s="55">
        <f t="shared" si="60"/>
        <v>0.67633811133502597</v>
      </c>
      <c r="T43" s="133">
        <f t="shared" si="61"/>
        <v>0.65485268701685395</v>
      </c>
      <c r="U43" s="54">
        <f t="shared" si="106"/>
        <v>0.23706792697452767</v>
      </c>
      <c r="V43" s="21">
        <f t="shared" si="107"/>
        <v>4.2182002971133556</v>
      </c>
      <c r="W43" s="21">
        <f t="shared" si="63"/>
        <v>1.185776861683703</v>
      </c>
      <c r="X43" s="63">
        <f t="shared" si="64"/>
        <v>1.0752054527877226</v>
      </c>
      <c r="Y43" s="54">
        <f t="shared" si="108"/>
        <v>0.23706792697452767</v>
      </c>
      <c r="Z43" s="21">
        <f t="shared" si="109"/>
        <v>4.2182002971133556</v>
      </c>
      <c r="AA43" s="21">
        <f t="shared" si="65"/>
        <v>1.185776861683703</v>
      </c>
      <c r="AB43" s="63">
        <f t="shared" si="66"/>
        <v>1.0752054527877226</v>
      </c>
      <c r="AC43" s="52">
        <f t="shared" si="110"/>
        <v>0</v>
      </c>
      <c r="AD43" s="21">
        <f t="shared" si="111"/>
        <v>0</v>
      </c>
      <c r="AE43" s="21">
        <f t="shared" si="67"/>
        <v>0</v>
      </c>
      <c r="AF43" s="63">
        <f t="shared" si="68"/>
        <v>0</v>
      </c>
      <c r="AG43" s="52">
        <f t="shared" si="112"/>
        <v>0</v>
      </c>
      <c r="AH43" s="21">
        <f t="shared" si="113"/>
        <v>0</v>
      </c>
      <c r="AI43" s="21">
        <f t="shared" si="69"/>
        <v>0</v>
      </c>
      <c r="AJ43" s="63">
        <f t="shared" si="70"/>
        <v>0</v>
      </c>
      <c r="AK43" s="52">
        <f t="shared" si="114"/>
        <v>0</v>
      </c>
      <c r="AL43" s="21">
        <f t="shared" si="115"/>
        <v>0</v>
      </c>
      <c r="AM43" s="21">
        <f t="shared" si="71"/>
        <v>0</v>
      </c>
      <c r="AN43" s="63">
        <f t="shared" si="72"/>
        <v>0</v>
      </c>
      <c r="AO43" s="52">
        <f t="shared" si="116"/>
        <v>0</v>
      </c>
      <c r="AP43" s="21">
        <f t="shared" si="117"/>
        <v>0</v>
      </c>
      <c r="AQ43" s="21">
        <f t="shared" si="74"/>
        <v>0</v>
      </c>
      <c r="AR43" s="181">
        <f t="shared" si="75"/>
        <v>0</v>
      </c>
      <c r="AS43" s="52">
        <f t="shared" si="118"/>
        <v>0.15133499330954489</v>
      </c>
      <c r="AT43" s="21">
        <f t="shared" si="119"/>
        <v>1.3215714067592701</v>
      </c>
      <c r="AU43" s="21">
        <f t="shared" si="120"/>
        <v>0.2968244606676107</v>
      </c>
      <c r="AV43" s="63">
        <f t="shared" si="121"/>
        <v>0.2794722892356557</v>
      </c>
      <c r="AW43" s="182">
        <f t="shared" si="76"/>
        <v>9.2209184765179461E-2</v>
      </c>
      <c r="AX43" s="52">
        <f t="shared" si="77"/>
        <v>0</v>
      </c>
      <c r="AY43" s="74">
        <f t="shared" si="78"/>
        <v>0</v>
      </c>
      <c r="AZ43" s="78">
        <f t="shared" si="79"/>
        <v>0</v>
      </c>
      <c r="BA43" s="87">
        <f t="shared" si="80"/>
        <v>0</v>
      </c>
      <c r="BB43" s="110">
        <f t="shared" si="81"/>
        <v>389.58111577303015</v>
      </c>
      <c r="BC43" s="69">
        <f t="shared" si="82"/>
        <v>0.29218583682977262</v>
      </c>
      <c r="BD43" s="42">
        <f t="shared" si="83"/>
        <v>375.77078305839683</v>
      </c>
      <c r="BE43" s="79">
        <f t="shared" si="84"/>
        <v>0.28182808729379766</v>
      </c>
      <c r="BF43" s="117">
        <f t="shared" si="122"/>
        <v>9.3384765582976985E-4</v>
      </c>
      <c r="BG43" s="118">
        <f t="shared" si="123"/>
        <v>1.4001643594211776E-2</v>
      </c>
      <c r="BH43" s="117">
        <f t="shared" si="124"/>
        <v>6.1943381790359594E-4</v>
      </c>
      <c r="BI43" s="118">
        <f t="shared" si="125"/>
        <v>2.6865194238630905E-2</v>
      </c>
      <c r="BJ43" s="117">
        <f t="shared" si="126"/>
        <v>6.1943381790359594E-4</v>
      </c>
      <c r="BK43" s="118">
        <f t="shared" si="127"/>
        <v>2.6865194238630905E-2</v>
      </c>
      <c r="BL43" s="91">
        <f t="shared" si="128"/>
        <v>0</v>
      </c>
      <c r="BM43" s="93">
        <f t="shared" si="129"/>
        <v>0</v>
      </c>
      <c r="BN43" s="91">
        <f t="shared" si="130"/>
        <v>0</v>
      </c>
      <c r="BO43" s="93">
        <f t="shared" si="131"/>
        <v>0</v>
      </c>
      <c r="BP43" s="91">
        <f t="shared" si="132"/>
        <v>0</v>
      </c>
      <c r="BQ43" s="93">
        <f t="shared" si="133"/>
        <v>0</v>
      </c>
      <c r="BR43" s="91">
        <f t="shared" si="134"/>
        <v>0</v>
      </c>
      <c r="BS43" s="93">
        <f t="shared" si="135"/>
        <v>0</v>
      </c>
      <c r="BT43" s="188">
        <f t="shared" si="136"/>
        <v>4.7302218821729144E-5</v>
      </c>
      <c r="BU43" s="93">
        <f t="shared" si="137"/>
        <v>3.4650633806579114E-3</v>
      </c>
      <c r="BV43" s="117">
        <f t="shared" si="85"/>
        <v>7.3417112962590181E-2</v>
      </c>
      <c r="BW43" s="206">
        <f t="shared" si="86"/>
        <v>7.3417112962590181E-2</v>
      </c>
      <c r="BX43" s="206">
        <f t="shared" si="87"/>
        <v>7.3417112962590181E-2</v>
      </c>
      <c r="BY43" s="97">
        <f t="shared" si="88"/>
        <v>0.3656029497923628</v>
      </c>
      <c r="BZ43" s="123">
        <f t="shared" si="89"/>
        <v>0.35524520025638784</v>
      </c>
      <c r="CA43" s="91">
        <f t="shared" si="90"/>
        <v>2.002083940572543E-3</v>
      </c>
      <c r="CB43" s="92">
        <f t="shared" si="138"/>
        <v>2.5000000000000001E-3</v>
      </c>
      <c r="CC43" s="92">
        <f t="shared" si="139"/>
        <v>2.5000000000000001E-3</v>
      </c>
      <c r="CD43" s="92">
        <f t="shared" si="140"/>
        <v>0</v>
      </c>
      <c r="CE43" s="92">
        <f t="shared" si="141"/>
        <v>0</v>
      </c>
      <c r="CF43" s="92">
        <f t="shared" si="142"/>
        <v>0</v>
      </c>
      <c r="CG43" s="92">
        <f t="shared" si="143"/>
        <v>0</v>
      </c>
      <c r="CH43" s="92">
        <f t="shared" si="144"/>
        <v>1.0000000000000002E-4</v>
      </c>
      <c r="CI43" s="127">
        <f t="shared" si="91"/>
        <v>7.1020839405725429E-3</v>
      </c>
      <c r="CJ43" s="91">
        <f t="shared" si="92"/>
        <v>1.4300599575518163E-4</v>
      </c>
      <c r="CK43" s="92">
        <f t="shared" si="145"/>
        <v>3.0000000000000002E-2</v>
      </c>
      <c r="CL43" s="92">
        <f t="shared" si="146"/>
        <v>0.11549999999999999</v>
      </c>
      <c r="CM43" s="127">
        <f t="shared" si="93"/>
        <v>0.14564300599575516</v>
      </c>
      <c r="CN43" s="91">
        <f t="shared" si="147"/>
        <v>0.15</v>
      </c>
      <c r="CO43" s="92">
        <f t="shared" si="148"/>
        <v>0.15</v>
      </c>
      <c r="CP43" s="92">
        <f t="shared" si="149"/>
        <v>0</v>
      </c>
      <c r="CQ43" s="92">
        <f t="shared" si="150"/>
        <v>0</v>
      </c>
      <c r="CR43" s="92">
        <f t="shared" si="151"/>
        <v>0</v>
      </c>
      <c r="CS43" s="92">
        <f t="shared" si="152"/>
        <v>0</v>
      </c>
      <c r="CT43" s="92">
        <f t="shared" si="153"/>
        <v>0.03</v>
      </c>
      <c r="CU43" s="127">
        <f t="shared" si="154"/>
        <v>0.32999999999999996</v>
      </c>
      <c r="CV43" s="231">
        <f t="shared" si="155"/>
        <v>0.71466948938101771</v>
      </c>
      <c r="CW43" s="188">
        <f t="shared" si="156"/>
        <v>1.1974145793173454</v>
      </c>
      <c r="CX43" s="206">
        <f t="shared" si="157"/>
        <v>7.1974145793173454</v>
      </c>
      <c r="CY43" s="231">
        <f t="shared" si="158"/>
        <v>0.8336326793292882</v>
      </c>
      <c r="CZ43">
        <f t="shared" si="159"/>
        <v>47.908964346349748</v>
      </c>
      <c r="DA43">
        <f t="shared" si="160"/>
        <v>665.08021323437083</v>
      </c>
      <c r="DD43" s="22">
        <v>40000</v>
      </c>
      <c r="DE43" s="22">
        <f t="shared" si="94"/>
        <v>251327.41228718346</v>
      </c>
      <c r="DF43" s="91">
        <f t="shared" si="95"/>
        <v>-0.30771975045114258</v>
      </c>
      <c r="DG43" s="93">
        <f t="shared" si="96"/>
        <v>-84.843897154908646</v>
      </c>
      <c r="DH43" s="91">
        <f t="shared" si="97"/>
        <v>-26.798178709561881</v>
      </c>
      <c r="DI43" s="92">
        <f t="shared" si="98"/>
        <v>136.4160527735051</v>
      </c>
      <c r="DJ43" s="92">
        <f t="shared" si="99"/>
        <v>-28.454678290905633</v>
      </c>
      <c r="DK43" s="93">
        <f t="shared" si="100"/>
        <v>140.37370363058</v>
      </c>
      <c r="DL43" s="91">
        <f t="shared" si="101"/>
        <v>-27.105898460013023</v>
      </c>
      <c r="DM43" s="92">
        <f t="shared" si="102"/>
        <v>51.572155618596454</v>
      </c>
      <c r="DN43" s="92">
        <f t="shared" si="103"/>
        <v>-28.762398041356775</v>
      </c>
      <c r="DO43" s="93">
        <f t="shared" si="104"/>
        <v>55.52980647567135</v>
      </c>
    </row>
    <row r="44" spans="1:119" x14ac:dyDescent="0.25">
      <c r="A44" s="12" t="s">
        <v>398</v>
      </c>
      <c r="B44" s="190">
        <f>COUT2_FlyB_DCM</f>
        <v>1.9999999999999998E-5</v>
      </c>
      <c r="C44" s="12" t="s">
        <v>351</v>
      </c>
      <c r="K44" s="58">
        <v>40</v>
      </c>
      <c r="L44" s="131">
        <f t="shared" si="55"/>
        <v>40.200000000000003</v>
      </c>
      <c r="M44" s="130">
        <f t="shared" si="56"/>
        <v>0.16583747927031506</v>
      </c>
      <c r="N44" s="132">
        <f t="shared" si="0"/>
        <v>8.174963544853224E-2</v>
      </c>
      <c r="O44" s="52">
        <f t="shared" si="57"/>
        <v>5.7805721585185321E-2</v>
      </c>
      <c r="P44" s="21">
        <f t="shared" si="58"/>
        <v>2.0286020648339487</v>
      </c>
      <c r="Q44" s="19">
        <f t="shared" si="59"/>
        <v>4.0572041296678973</v>
      </c>
      <c r="R44" s="6">
        <f t="shared" si="105"/>
        <v>2.4195139082970325</v>
      </c>
      <c r="S44" s="55">
        <f t="shared" si="60"/>
        <v>0.66974448149984112</v>
      </c>
      <c r="T44" s="133">
        <f t="shared" si="61"/>
        <v>0.64888797258753284</v>
      </c>
      <c r="U44" s="54">
        <f t="shared" si="106"/>
        <v>0.23706792697452767</v>
      </c>
      <c r="V44" s="21">
        <f t="shared" si="107"/>
        <v>4.2182002971133556</v>
      </c>
      <c r="W44" s="21">
        <f t="shared" si="63"/>
        <v>1.185776861683703</v>
      </c>
      <c r="X44" s="63">
        <f t="shared" si="64"/>
        <v>1.0752054527877226</v>
      </c>
      <c r="Y44" s="54">
        <f t="shared" si="108"/>
        <v>0.23706792697452767</v>
      </c>
      <c r="Z44" s="21">
        <f t="shared" si="109"/>
        <v>4.2182002971133556</v>
      </c>
      <c r="AA44" s="21">
        <f t="shared" si="65"/>
        <v>1.185776861683703</v>
      </c>
      <c r="AB44" s="63">
        <f t="shared" si="66"/>
        <v>1.0752054527877226</v>
      </c>
      <c r="AC44" s="52">
        <f t="shared" si="110"/>
        <v>0</v>
      </c>
      <c r="AD44" s="21">
        <f t="shared" si="111"/>
        <v>0</v>
      </c>
      <c r="AE44" s="21">
        <f t="shared" si="67"/>
        <v>0</v>
      </c>
      <c r="AF44" s="63">
        <f t="shared" si="68"/>
        <v>0</v>
      </c>
      <c r="AG44" s="52">
        <f t="shared" si="112"/>
        <v>0</v>
      </c>
      <c r="AH44" s="21">
        <f t="shared" si="113"/>
        <v>0</v>
      </c>
      <c r="AI44" s="21">
        <f t="shared" si="69"/>
        <v>0</v>
      </c>
      <c r="AJ44" s="63">
        <f t="shared" si="70"/>
        <v>0</v>
      </c>
      <c r="AK44" s="52">
        <f t="shared" si="114"/>
        <v>0</v>
      </c>
      <c r="AL44" s="21">
        <f t="shared" si="115"/>
        <v>0</v>
      </c>
      <c r="AM44" s="21">
        <f t="shared" si="71"/>
        <v>0</v>
      </c>
      <c r="AN44" s="63">
        <f t="shared" si="72"/>
        <v>0</v>
      </c>
      <c r="AO44" s="52">
        <f t="shared" si="116"/>
        <v>0</v>
      </c>
      <c r="AP44" s="21">
        <f t="shared" si="117"/>
        <v>0</v>
      </c>
      <c r="AQ44" s="21">
        <f t="shared" si="74"/>
        <v>0</v>
      </c>
      <c r="AR44" s="181">
        <f t="shared" si="75"/>
        <v>0</v>
      </c>
      <c r="AS44" s="52">
        <f t="shared" si="118"/>
        <v>0.15133499330954489</v>
      </c>
      <c r="AT44" s="21">
        <f t="shared" si="119"/>
        <v>1.3215714067592701</v>
      </c>
      <c r="AU44" s="21">
        <f t="shared" si="120"/>
        <v>0.2968244606676107</v>
      </c>
      <c r="AV44" s="63">
        <f t="shared" si="121"/>
        <v>0.2794722892356557</v>
      </c>
      <c r="AW44" s="182">
        <f t="shared" si="76"/>
        <v>9.2209184765179461E-2</v>
      </c>
      <c r="AX44" s="52">
        <f t="shared" si="77"/>
        <v>0</v>
      </c>
      <c r="AY44" s="74">
        <f t="shared" si="78"/>
        <v>0</v>
      </c>
      <c r="AZ44" s="78">
        <f t="shared" si="79"/>
        <v>0</v>
      </c>
      <c r="BA44" s="87">
        <f t="shared" si="80"/>
        <v>0</v>
      </c>
      <c r="BB44" s="110">
        <f t="shared" si="81"/>
        <v>389.58111577303015</v>
      </c>
      <c r="BC44" s="69">
        <f t="shared" si="82"/>
        <v>0.29218583682977262</v>
      </c>
      <c r="BD44" s="42">
        <f t="shared" si="83"/>
        <v>375.77078305839683</v>
      </c>
      <c r="BE44" s="79">
        <f t="shared" si="84"/>
        <v>0.28182808729379766</v>
      </c>
      <c r="BF44" s="117">
        <f t="shared" si="122"/>
        <v>8.9796036264483002E-4</v>
      </c>
      <c r="BG44" s="118">
        <f t="shared" si="123"/>
        <v>1.3747737773589931E-2</v>
      </c>
      <c r="BH44" s="117">
        <f t="shared" si="124"/>
        <v>6.1943381790359594E-4</v>
      </c>
      <c r="BI44" s="118">
        <f t="shared" si="125"/>
        <v>2.6865194238630905E-2</v>
      </c>
      <c r="BJ44" s="117">
        <f t="shared" si="126"/>
        <v>6.1943381790359594E-4</v>
      </c>
      <c r="BK44" s="118">
        <f t="shared" si="127"/>
        <v>2.6865194238630905E-2</v>
      </c>
      <c r="BL44" s="91">
        <f t="shared" si="128"/>
        <v>0</v>
      </c>
      <c r="BM44" s="93">
        <f t="shared" si="129"/>
        <v>0</v>
      </c>
      <c r="BN44" s="91">
        <f t="shared" si="130"/>
        <v>0</v>
      </c>
      <c r="BO44" s="93">
        <f t="shared" si="131"/>
        <v>0</v>
      </c>
      <c r="BP44" s="91">
        <f t="shared" si="132"/>
        <v>0</v>
      </c>
      <c r="BQ44" s="93">
        <f t="shared" si="133"/>
        <v>0</v>
      </c>
      <c r="BR44" s="91">
        <f t="shared" si="134"/>
        <v>0</v>
      </c>
      <c r="BS44" s="93">
        <f t="shared" si="135"/>
        <v>0</v>
      </c>
      <c r="BT44" s="188">
        <f t="shared" si="136"/>
        <v>4.7302218821729144E-5</v>
      </c>
      <c r="BU44" s="93">
        <f t="shared" si="137"/>
        <v>3.4650633806579114E-3</v>
      </c>
      <c r="BV44" s="117">
        <f t="shared" si="85"/>
        <v>7.3127319848783401E-2</v>
      </c>
      <c r="BW44" s="206">
        <f t="shared" si="86"/>
        <v>7.3127319848783401E-2</v>
      </c>
      <c r="BX44" s="206">
        <f t="shared" si="87"/>
        <v>7.3127319848783401E-2</v>
      </c>
      <c r="BY44" s="97">
        <f t="shared" si="88"/>
        <v>0.36531315667855602</v>
      </c>
      <c r="BZ44" s="123">
        <f t="shared" si="89"/>
        <v>0.35495540714258106</v>
      </c>
      <c r="CA44" s="91">
        <f t="shared" si="90"/>
        <v>1.9251448671512527E-3</v>
      </c>
      <c r="CB44" s="92">
        <f t="shared" si="138"/>
        <v>2.5000000000000001E-3</v>
      </c>
      <c r="CC44" s="92">
        <f t="shared" si="139"/>
        <v>2.5000000000000001E-3</v>
      </c>
      <c r="CD44" s="92">
        <f t="shared" si="140"/>
        <v>0</v>
      </c>
      <c r="CE44" s="92">
        <f t="shared" si="141"/>
        <v>0</v>
      </c>
      <c r="CF44" s="92">
        <f t="shared" si="142"/>
        <v>0</v>
      </c>
      <c r="CG44" s="92">
        <f t="shared" si="143"/>
        <v>0</v>
      </c>
      <c r="CH44" s="92">
        <f t="shared" si="144"/>
        <v>1.0000000000000002E-4</v>
      </c>
      <c r="CI44" s="127">
        <f t="shared" si="91"/>
        <v>7.0251448671512532E-3</v>
      </c>
      <c r="CJ44" s="91">
        <f t="shared" si="92"/>
        <v>1.3751034765366088E-4</v>
      </c>
      <c r="CK44" s="92">
        <f t="shared" si="145"/>
        <v>0.03</v>
      </c>
      <c r="CL44" s="92">
        <f t="shared" si="146"/>
        <v>0.11549999999999999</v>
      </c>
      <c r="CM44" s="127">
        <f t="shared" si="93"/>
        <v>0.14563751034765365</v>
      </c>
      <c r="CN44" s="91">
        <f t="shared" si="147"/>
        <v>0.15</v>
      </c>
      <c r="CO44" s="92">
        <f t="shared" si="148"/>
        <v>0.15</v>
      </c>
      <c r="CP44" s="92">
        <f t="shared" si="149"/>
        <v>0</v>
      </c>
      <c r="CQ44" s="92">
        <f t="shared" si="150"/>
        <v>0</v>
      </c>
      <c r="CR44" s="92">
        <f t="shared" si="151"/>
        <v>0</v>
      </c>
      <c r="CS44" s="92">
        <f t="shared" si="152"/>
        <v>0</v>
      </c>
      <c r="CT44" s="92">
        <f t="shared" si="153"/>
        <v>0.03</v>
      </c>
      <c r="CU44" s="127">
        <f t="shared" si="154"/>
        <v>0.32999999999999996</v>
      </c>
      <c r="CV44" s="231">
        <f t="shared" si="155"/>
        <v>0.7135256244156305</v>
      </c>
      <c r="CW44" s="188">
        <f t="shared" si="156"/>
        <v>1.1961882796304355</v>
      </c>
      <c r="CX44" s="206">
        <f t="shared" si="157"/>
        <v>7.1961882796304355</v>
      </c>
      <c r="CY44" s="231">
        <f t="shared" si="158"/>
        <v>0.83377473835469651</v>
      </c>
      <c r="CZ44">
        <f t="shared" si="159"/>
        <v>48.688964346349749</v>
      </c>
      <c r="DA44">
        <f t="shared" si="160"/>
        <v>665.86021323437092</v>
      </c>
      <c r="DD44" s="22">
        <v>50000</v>
      </c>
      <c r="DE44" s="22">
        <f t="shared" si="94"/>
        <v>314159.26535897929</v>
      </c>
      <c r="DF44" s="91">
        <f t="shared" si="95"/>
        <v>-2.2372956602833698</v>
      </c>
      <c r="DG44" s="93">
        <f t="shared" si="96"/>
        <v>-84.581560499317689</v>
      </c>
      <c r="DH44" s="91">
        <f t="shared" si="97"/>
        <v>-27.795550234546482</v>
      </c>
      <c r="DI44" s="92">
        <f t="shared" si="98"/>
        <v>130.22946976096065</v>
      </c>
      <c r="DJ44" s="92">
        <f t="shared" si="99"/>
        <v>-29.317538642212313</v>
      </c>
      <c r="DK44" s="93">
        <f t="shared" si="100"/>
        <v>134.22303054035228</v>
      </c>
      <c r="DL44" s="91">
        <f t="shared" si="101"/>
        <v>-30.032845894829851</v>
      </c>
      <c r="DM44" s="92">
        <f t="shared" si="102"/>
        <v>45.647909261642965</v>
      </c>
      <c r="DN44" s="92">
        <f t="shared" si="103"/>
        <v>-31.554834302495681</v>
      </c>
      <c r="DO44" s="93">
        <f t="shared" si="104"/>
        <v>49.641470041034594</v>
      </c>
    </row>
    <row r="45" spans="1:119" x14ac:dyDescent="0.25">
      <c r="A45" s="12" t="s">
        <v>399</v>
      </c>
      <c r="B45" s="190">
        <f>IF(AND(Vout3&lt;&gt;0,Iout3&lt;&gt;0,Vout3_Ripple&lt;&gt;0),(Iout3*B7)/(Fsw*Vout3_Ripple*(10^-3)),0)</f>
        <v>0</v>
      </c>
      <c r="C45" s="12" t="s">
        <v>351</v>
      </c>
      <c r="K45" s="58">
        <v>41</v>
      </c>
      <c r="L45" s="131">
        <f t="shared" si="55"/>
        <v>40.980000000000004</v>
      </c>
      <c r="M45" s="130">
        <f t="shared" si="56"/>
        <v>0.16268098259313485</v>
      </c>
      <c r="N45" s="132">
        <f t="shared" si="0"/>
        <v>8.0193639459028701E-2</v>
      </c>
      <c r="O45" s="52">
        <f t="shared" si="57"/>
        <v>5.6705466269508294E-2</v>
      </c>
      <c r="P45" s="21">
        <f t="shared" si="58"/>
        <v>2.0286020648339487</v>
      </c>
      <c r="Q45" s="19">
        <f t="shared" si="59"/>
        <v>4.0572041296678973</v>
      </c>
      <c r="R45" s="6">
        <f t="shared" si="105"/>
        <v>2.4131094373474862</v>
      </c>
      <c r="S45" s="55">
        <f t="shared" si="60"/>
        <v>0.6633400105502949</v>
      </c>
      <c r="T45" s="133">
        <f t="shared" si="61"/>
        <v>0.64308231782517356</v>
      </c>
      <c r="U45" s="54">
        <f t="shared" si="106"/>
        <v>0.23706792697452767</v>
      </c>
      <c r="V45" s="21">
        <f t="shared" si="107"/>
        <v>4.2182002971133556</v>
      </c>
      <c r="W45" s="21">
        <f t="shared" si="63"/>
        <v>1.185776861683703</v>
      </c>
      <c r="X45" s="63">
        <f t="shared" si="64"/>
        <v>1.0752054527877226</v>
      </c>
      <c r="Y45" s="54">
        <f t="shared" si="108"/>
        <v>0.23706792697452767</v>
      </c>
      <c r="Z45" s="21">
        <f t="shared" si="109"/>
        <v>4.2182002971133556</v>
      </c>
      <c r="AA45" s="21">
        <f t="shared" si="65"/>
        <v>1.185776861683703</v>
      </c>
      <c r="AB45" s="63">
        <f t="shared" si="66"/>
        <v>1.0752054527877226</v>
      </c>
      <c r="AC45" s="52">
        <f t="shared" si="110"/>
        <v>0</v>
      </c>
      <c r="AD45" s="21">
        <f t="shared" si="111"/>
        <v>0</v>
      </c>
      <c r="AE45" s="21">
        <f t="shared" si="67"/>
        <v>0</v>
      </c>
      <c r="AF45" s="63">
        <f t="shared" si="68"/>
        <v>0</v>
      </c>
      <c r="AG45" s="52">
        <f t="shared" si="112"/>
        <v>0</v>
      </c>
      <c r="AH45" s="21">
        <f t="shared" si="113"/>
        <v>0</v>
      </c>
      <c r="AI45" s="21">
        <f t="shared" si="69"/>
        <v>0</v>
      </c>
      <c r="AJ45" s="63">
        <f t="shared" si="70"/>
        <v>0</v>
      </c>
      <c r="AK45" s="52">
        <f t="shared" si="114"/>
        <v>0</v>
      </c>
      <c r="AL45" s="21">
        <f t="shared" si="115"/>
        <v>0</v>
      </c>
      <c r="AM45" s="21">
        <f t="shared" si="71"/>
        <v>0</v>
      </c>
      <c r="AN45" s="63">
        <f t="shared" si="72"/>
        <v>0</v>
      </c>
      <c r="AO45" s="52">
        <f t="shared" si="116"/>
        <v>0</v>
      </c>
      <c r="AP45" s="21">
        <f t="shared" si="117"/>
        <v>0</v>
      </c>
      <c r="AQ45" s="21">
        <f t="shared" si="74"/>
        <v>0</v>
      </c>
      <c r="AR45" s="181">
        <f t="shared" si="75"/>
        <v>0</v>
      </c>
      <c r="AS45" s="52">
        <f t="shared" si="118"/>
        <v>0.15133499330954489</v>
      </c>
      <c r="AT45" s="21">
        <f t="shared" si="119"/>
        <v>1.3215714067592701</v>
      </c>
      <c r="AU45" s="21">
        <f t="shared" si="120"/>
        <v>0.2968244606676107</v>
      </c>
      <c r="AV45" s="63">
        <f t="shared" si="121"/>
        <v>0.2794722892356557</v>
      </c>
      <c r="AW45" s="182">
        <f t="shared" si="76"/>
        <v>9.2209184765179461E-2</v>
      </c>
      <c r="AX45" s="52">
        <f t="shared" si="77"/>
        <v>0</v>
      </c>
      <c r="AY45" s="74">
        <f t="shared" si="78"/>
        <v>0</v>
      </c>
      <c r="AZ45" s="78">
        <f t="shared" si="79"/>
        <v>0</v>
      </c>
      <c r="BA45" s="87">
        <f t="shared" si="80"/>
        <v>0</v>
      </c>
      <c r="BB45" s="110">
        <f t="shared" si="81"/>
        <v>389.58111577303015</v>
      </c>
      <c r="BC45" s="69">
        <f t="shared" si="82"/>
        <v>0.29218583682977262</v>
      </c>
      <c r="BD45" s="42">
        <f t="shared" si="83"/>
        <v>375.77078305839683</v>
      </c>
      <c r="BE45" s="79">
        <f t="shared" si="84"/>
        <v>0.28182808729379766</v>
      </c>
      <c r="BF45" s="117">
        <f t="shared" si="122"/>
        <v>8.6410270508257279E-4</v>
      </c>
      <c r="BG45" s="118">
        <f t="shared" si="123"/>
        <v>1.3502833973215075E-2</v>
      </c>
      <c r="BH45" s="117">
        <f t="shared" si="124"/>
        <v>6.1943381790359594E-4</v>
      </c>
      <c r="BI45" s="118">
        <f t="shared" si="125"/>
        <v>2.6865194238630905E-2</v>
      </c>
      <c r="BJ45" s="117">
        <f t="shared" si="126"/>
        <v>6.1943381790359594E-4</v>
      </c>
      <c r="BK45" s="118">
        <f t="shared" si="127"/>
        <v>2.6865194238630905E-2</v>
      </c>
      <c r="BL45" s="91">
        <f t="shared" si="128"/>
        <v>0</v>
      </c>
      <c r="BM45" s="93">
        <f t="shared" si="129"/>
        <v>0</v>
      </c>
      <c r="BN45" s="91">
        <f t="shared" si="130"/>
        <v>0</v>
      </c>
      <c r="BO45" s="93">
        <f t="shared" si="131"/>
        <v>0</v>
      </c>
      <c r="BP45" s="91">
        <f t="shared" si="132"/>
        <v>0</v>
      </c>
      <c r="BQ45" s="93">
        <f t="shared" si="133"/>
        <v>0</v>
      </c>
      <c r="BR45" s="91">
        <f t="shared" si="134"/>
        <v>0</v>
      </c>
      <c r="BS45" s="93">
        <f t="shared" si="135"/>
        <v>0</v>
      </c>
      <c r="BT45" s="188">
        <f t="shared" si="136"/>
        <v>4.7302218821729144E-5</v>
      </c>
      <c r="BU45" s="93">
        <f t="shared" si="137"/>
        <v>3.4650633806579114E-3</v>
      </c>
      <c r="BV45" s="117">
        <f t="shared" si="85"/>
        <v>7.284855839084628E-2</v>
      </c>
      <c r="BW45" s="206">
        <f t="shared" si="86"/>
        <v>7.284855839084628E-2</v>
      </c>
      <c r="BX45" s="206">
        <f t="shared" si="87"/>
        <v>7.284855839084628E-2</v>
      </c>
      <c r="BY45" s="97">
        <f t="shared" si="88"/>
        <v>0.36503439522061887</v>
      </c>
      <c r="BZ45" s="123">
        <f t="shared" si="89"/>
        <v>0.35467664568464397</v>
      </c>
      <c r="CA45" s="91">
        <f t="shared" si="90"/>
        <v>1.8525571468227492E-3</v>
      </c>
      <c r="CB45" s="92">
        <f t="shared" si="138"/>
        <v>2.5000000000000001E-3</v>
      </c>
      <c r="CC45" s="92">
        <f t="shared" si="139"/>
        <v>2.5000000000000001E-3</v>
      </c>
      <c r="CD45" s="92">
        <f t="shared" si="140"/>
        <v>0</v>
      </c>
      <c r="CE45" s="92">
        <f t="shared" si="141"/>
        <v>0</v>
      </c>
      <c r="CF45" s="92">
        <f t="shared" si="142"/>
        <v>0</v>
      </c>
      <c r="CG45" s="92">
        <f t="shared" si="143"/>
        <v>0</v>
      </c>
      <c r="CH45" s="92">
        <f t="shared" si="144"/>
        <v>1.0000000000000002E-4</v>
      </c>
      <c r="CI45" s="127">
        <f t="shared" si="91"/>
        <v>6.9525571468227491E-3</v>
      </c>
      <c r="CJ45" s="91">
        <f t="shared" si="92"/>
        <v>1.3232551048733923E-4</v>
      </c>
      <c r="CK45" s="92">
        <f t="shared" si="145"/>
        <v>3.0000000000000002E-2</v>
      </c>
      <c r="CL45" s="92">
        <f t="shared" si="146"/>
        <v>0.11549999999999999</v>
      </c>
      <c r="CM45" s="127">
        <f t="shared" si="93"/>
        <v>0.14563232551048733</v>
      </c>
      <c r="CN45" s="91">
        <f t="shared" si="147"/>
        <v>0.15</v>
      </c>
      <c r="CO45" s="92">
        <f t="shared" si="148"/>
        <v>0.15</v>
      </c>
      <c r="CP45" s="92">
        <f t="shared" si="149"/>
        <v>0</v>
      </c>
      <c r="CQ45" s="92">
        <f t="shared" si="150"/>
        <v>0</v>
      </c>
      <c r="CR45" s="92">
        <f t="shared" si="151"/>
        <v>0</v>
      </c>
      <c r="CS45" s="92">
        <f t="shared" si="152"/>
        <v>0</v>
      </c>
      <c r="CT45" s="92">
        <f t="shared" si="153"/>
        <v>0.03</v>
      </c>
      <c r="CU45" s="127">
        <f t="shared" si="154"/>
        <v>0.32999999999999996</v>
      </c>
      <c r="CV45" s="231">
        <f t="shared" si="155"/>
        <v>0.71235532697030124</v>
      </c>
      <c r="CW45" s="188">
        <f t="shared" si="156"/>
        <v>1.1949402096276112</v>
      </c>
      <c r="CX45" s="206">
        <f t="shared" si="157"/>
        <v>7.1949402096276112</v>
      </c>
      <c r="CY45" s="231">
        <f t="shared" si="158"/>
        <v>0.8339193690548462</v>
      </c>
      <c r="CZ45">
        <f t="shared" si="159"/>
        <v>49.46896434634975</v>
      </c>
      <c r="DA45">
        <f t="shared" si="160"/>
        <v>666.64021323437089</v>
      </c>
      <c r="DD45" s="22">
        <v>60000</v>
      </c>
      <c r="DE45" s="22">
        <f t="shared" si="94"/>
        <v>376991.11843077518</v>
      </c>
      <c r="DF45" s="91">
        <f t="shared" si="95"/>
        <v>-3.8120694355468827</v>
      </c>
      <c r="DG45" s="93">
        <f t="shared" si="96"/>
        <v>-84.168696987480203</v>
      </c>
      <c r="DH45" s="91">
        <f t="shared" si="97"/>
        <v>-28.76728967544361</v>
      </c>
      <c r="DI45" s="92">
        <f t="shared" si="98"/>
        <v>125.27642826311893</v>
      </c>
      <c r="DJ45" s="92">
        <f t="shared" si="99"/>
        <v>-30.181837923635598</v>
      </c>
      <c r="DK45" s="93">
        <f t="shared" si="100"/>
        <v>129.15551566093799</v>
      </c>
      <c r="DL45" s="91">
        <f t="shared" si="101"/>
        <v>-32.579359110990495</v>
      </c>
      <c r="DM45" s="92">
        <f t="shared" si="102"/>
        <v>41.107731275638727</v>
      </c>
      <c r="DN45" s="92">
        <f t="shared" si="103"/>
        <v>-33.993907359182479</v>
      </c>
      <c r="DO45" s="93">
        <f t="shared" si="104"/>
        <v>44.98681867345779</v>
      </c>
    </row>
    <row r="46" spans="1:119" x14ac:dyDescent="0.25">
      <c r="A46" s="12" t="s">
        <v>400</v>
      </c>
      <c r="B46" s="190">
        <f>COUT3_FlyB_DCM</f>
        <v>0</v>
      </c>
      <c r="C46" s="12" t="s">
        <v>351</v>
      </c>
      <c r="K46" s="58">
        <v>42</v>
      </c>
      <c r="L46" s="131">
        <f t="shared" si="55"/>
        <v>41.76</v>
      </c>
      <c r="M46" s="130">
        <f t="shared" si="56"/>
        <v>0.15964240102171137</v>
      </c>
      <c r="N46" s="132">
        <f t="shared" si="0"/>
        <v>7.8695769756489384E-2</v>
      </c>
      <c r="O46" s="52">
        <f t="shared" si="57"/>
        <v>5.5646312445508862E-2</v>
      </c>
      <c r="P46" s="21">
        <f t="shared" si="58"/>
        <v>2.0286020648339487</v>
      </c>
      <c r="Q46" s="19">
        <f t="shared" si="59"/>
        <v>4.0572041296678973</v>
      </c>
      <c r="R46" s="6">
        <f t="shared" si="105"/>
        <v>2.406885250527623</v>
      </c>
      <c r="S46" s="55">
        <f t="shared" si="60"/>
        <v>0.65711582373043187</v>
      </c>
      <c r="T46" s="133">
        <f t="shared" si="61"/>
        <v>0.63742882708028437</v>
      </c>
      <c r="U46" s="54">
        <f t="shared" si="106"/>
        <v>0.23706792697452767</v>
      </c>
      <c r="V46" s="21">
        <f t="shared" si="107"/>
        <v>4.2182002971133556</v>
      </c>
      <c r="W46" s="21">
        <f t="shared" si="63"/>
        <v>1.185776861683703</v>
      </c>
      <c r="X46" s="63">
        <f t="shared" si="64"/>
        <v>1.0752054527877226</v>
      </c>
      <c r="Y46" s="54">
        <f t="shared" si="108"/>
        <v>0.23706792697452767</v>
      </c>
      <c r="Z46" s="21">
        <f t="shared" si="109"/>
        <v>4.2182002971133556</v>
      </c>
      <c r="AA46" s="21">
        <f t="shared" si="65"/>
        <v>1.185776861683703</v>
      </c>
      <c r="AB46" s="63">
        <f t="shared" si="66"/>
        <v>1.0752054527877226</v>
      </c>
      <c r="AC46" s="52">
        <f t="shared" si="110"/>
        <v>0</v>
      </c>
      <c r="AD46" s="21">
        <f t="shared" si="111"/>
        <v>0</v>
      </c>
      <c r="AE46" s="21">
        <f t="shared" si="67"/>
        <v>0</v>
      </c>
      <c r="AF46" s="63">
        <f t="shared" si="68"/>
        <v>0</v>
      </c>
      <c r="AG46" s="52">
        <f t="shared" si="112"/>
        <v>0</v>
      </c>
      <c r="AH46" s="21">
        <f t="shared" si="113"/>
        <v>0</v>
      </c>
      <c r="AI46" s="21">
        <f t="shared" si="69"/>
        <v>0</v>
      </c>
      <c r="AJ46" s="63">
        <f t="shared" si="70"/>
        <v>0</v>
      </c>
      <c r="AK46" s="52">
        <f t="shared" si="114"/>
        <v>0</v>
      </c>
      <c r="AL46" s="21">
        <f t="shared" si="115"/>
        <v>0</v>
      </c>
      <c r="AM46" s="21">
        <f t="shared" si="71"/>
        <v>0</v>
      </c>
      <c r="AN46" s="63">
        <f t="shared" si="72"/>
        <v>0</v>
      </c>
      <c r="AO46" s="52">
        <f t="shared" si="116"/>
        <v>0</v>
      </c>
      <c r="AP46" s="21">
        <f t="shared" si="117"/>
        <v>0</v>
      </c>
      <c r="AQ46" s="21">
        <f t="shared" si="74"/>
        <v>0</v>
      </c>
      <c r="AR46" s="181">
        <f t="shared" si="75"/>
        <v>0</v>
      </c>
      <c r="AS46" s="52">
        <f t="shared" si="118"/>
        <v>0.15133499330954489</v>
      </c>
      <c r="AT46" s="21">
        <f t="shared" si="119"/>
        <v>1.3215714067592701</v>
      </c>
      <c r="AU46" s="21">
        <f t="shared" si="120"/>
        <v>0.2968244606676107</v>
      </c>
      <c r="AV46" s="63">
        <f t="shared" si="121"/>
        <v>0.2794722892356557</v>
      </c>
      <c r="AW46" s="182">
        <f t="shared" si="76"/>
        <v>9.2209184765179461E-2</v>
      </c>
      <c r="AX46" s="52">
        <f t="shared" si="77"/>
        <v>0</v>
      </c>
      <c r="AY46" s="74">
        <f t="shared" si="78"/>
        <v>0</v>
      </c>
      <c r="AZ46" s="78">
        <f t="shared" si="79"/>
        <v>0</v>
      </c>
      <c r="BA46" s="87">
        <f t="shared" si="80"/>
        <v>0</v>
      </c>
      <c r="BB46" s="110">
        <f t="shared" si="81"/>
        <v>389.58111577303015</v>
      </c>
      <c r="BC46" s="69">
        <f t="shared" si="82"/>
        <v>0.29218583682977262</v>
      </c>
      <c r="BD46" s="42">
        <f t="shared" si="83"/>
        <v>375.77078305839683</v>
      </c>
      <c r="BE46" s="79">
        <f t="shared" si="84"/>
        <v>0.28182808729379766</v>
      </c>
      <c r="BF46" s="117">
        <f t="shared" si="122"/>
        <v>8.3212446903336049E-4</v>
      </c>
      <c r="BG46" s="118">
        <f t="shared" si="123"/>
        <v>1.3266464254066201E-2</v>
      </c>
      <c r="BH46" s="117">
        <f t="shared" si="124"/>
        <v>6.1943381790359594E-4</v>
      </c>
      <c r="BI46" s="118">
        <f t="shared" si="125"/>
        <v>2.6865194238630905E-2</v>
      </c>
      <c r="BJ46" s="117">
        <f t="shared" si="126"/>
        <v>6.1943381790359594E-4</v>
      </c>
      <c r="BK46" s="118">
        <f t="shared" si="127"/>
        <v>2.6865194238630905E-2</v>
      </c>
      <c r="BL46" s="91">
        <f t="shared" si="128"/>
        <v>0</v>
      </c>
      <c r="BM46" s="93">
        <f t="shared" si="129"/>
        <v>0</v>
      </c>
      <c r="BN46" s="91">
        <f t="shared" si="130"/>
        <v>0</v>
      </c>
      <c r="BO46" s="93">
        <f t="shared" si="131"/>
        <v>0</v>
      </c>
      <c r="BP46" s="91">
        <f t="shared" si="132"/>
        <v>0</v>
      </c>
      <c r="BQ46" s="93">
        <f t="shared" si="133"/>
        <v>0</v>
      </c>
      <c r="BR46" s="91">
        <f t="shared" si="134"/>
        <v>0</v>
      </c>
      <c r="BS46" s="93">
        <f t="shared" si="135"/>
        <v>0</v>
      </c>
      <c r="BT46" s="188">
        <f t="shared" si="136"/>
        <v>4.7302218821729144E-5</v>
      </c>
      <c r="BU46" s="93">
        <f t="shared" si="137"/>
        <v>3.4650633806579114E-3</v>
      </c>
      <c r="BV46" s="117">
        <f t="shared" si="85"/>
        <v>7.2580210435648204E-2</v>
      </c>
      <c r="BW46" s="206">
        <f t="shared" si="86"/>
        <v>7.2580210435648204E-2</v>
      </c>
      <c r="BX46" s="206">
        <f t="shared" si="87"/>
        <v>7.2580210435648204E-2</v>
      </c>
      <c r="BY46" s="97">
        <f t="shared" si="88"/>
        <v>0.36476604726542083</v>
      </c>
      <c r="BZ46" s="123">
        <f t="shared" si="89"/>
        <v>0.35440829772944588</v>
      </c>
      <c r="CA46" s="91">
        <f t="shared" si="90"/>
        <v>1.7839987342783839E-3</v>
      </c>
      <c r="CB46" s="92">
        <f t="shared" si="138"/>
        <v>2.5000000000000001E-3</v>
      </c>
      <c r="CC46" s="92">
        <f t="shared" si="139"/>
        <v>2.5000000000000001E-3</v>
      </c>
      <c r="CD46" s="92">
        <f t="shared" si="140"/>
        <v>0</v>
      </c>
      <c r="CE46" s="92">
        <f t="shared" si="141"/>
        <v>0</v>
      </c>
      <c r="CF46" s="92">
        <f t="shared" si="142"/>
        <v>0</v>
      </c>
      <c r="CG46" s="92">
        <f t="shared" si="143"/>
        <v>0</v>
      </c>
      <c r="CH46" s="92">
        <f t="shared" si="144"/>
        <v>1.0000000000000002E-4</v>
      </c>
      <c r="CI46" s="127">
        <f t="shared" si="91"/>
        <v>6.8839987342783843E-3</v>
      </c>
      <c r="CJ46" s="91">
        <f t="shared" si="92"/>
        <v>1.2742848101988456E-4</v>
      </c>
      <c r="CK46" s="92">
        <f t="shared" si="145"/>
        <v>3.0000000000000002E-2</v>
      </c>
      <c r="CL46" s="92">
        <f t="shared" si="146"/>
        <v>0.11549999999999999</v>
      </c>
      <c r="CM46" s="127">
        <f t="shared" si="93"/>
        <v>0.14562742848101989</v>
      </c>
      <c r="CN46" s="91">
        <f t="shared" si="147"/>
        <v>0.15</v>
      </c>
      <c r="CO46" s="92">
        <f t="shared" si="148"/>
        <v>0.15</v>
      </c>
      <c r="CP46" s="92">
        <f t="shared" si="149"/>
        <v>0</v>
      </c>
      <c r="CQ46" s="92">
        <f t="shared" si="150"/>
        <v>0</v>
      </c>
      <c r="CR46" s="92">
        <f t="shared" si="151"/>
        <v>0</v>
      </c>
      <c r="CS46" s="92">
        <f t="shared" si="152"/>
        <v>0</v>
      </c>
      <c r="CT46" s="92">
        <f t="shared" si="153"/>
        <v>0.03</v>
      </c>
      <c r="CU46" s="127">
        <f t="shared" si="154"/>
        <v>0.32999999999999996</v>
      </c>
      <c r="CV46" s="231">
        <f t="shared" si="155"/>
        <v>0.71115767013115239</v>
      </c>
      <c r="CW46" s="188">
        <f t="shared" si="156"/>
        <v>1.1936690973464508</v>
      </c>
      <c r="CX46" s="206">
        <f t="shared" si="157"/>
        <v>7.1936690973464508</v>
      </c>
      <c r="CY46" s="231">
        <f t="shared" si="158"/>
        <v>0.83406672155843775</v>
      </c>
      <c r="CZ46">
        <f t="shared" si="159"/>
        <v>50.248964346349744</v>
      </c>
      <c r="DA46">
        <f t="shared" si="160"/>
        <v>667.42021323437086</v>
      </c>
      <c r="DD46" s="22">
        <v>70000</v>
      </c>
      <c r="DE46" s="22">
        <f t="shared" si="94"/>
        <v>439822.97150257102</v>
      </c>
      <c r="DF46" s="91">
        <f t="shared" si="95"/>
        <v>-5.1413389039982524</v>
      </c>
      <c r="DG46" s="93">
        <f t="shared" si="96"/>
        <v>-83.670462905538884</v>
      </c>
      <c r="DH46" s="91">
        <f t="shared" si="97"/>
        <v>-29.690731476031527</v>
      </c>
      <c r="DI46" s="92">
        <f t="shared" si="98"/>
        <v>121.28467410687101</v>
      </c>
      <c r="DJ46" s="92">
        <f t="shared" si="99"/>
        <v>-31.02137084543098</v>
      </c>
      <c r="DK46" s="93">
        <f t="shared" si="100"/>
        <v>124.97872300742894</v>
      </c>
      <c r="DL46" s="91">
        <f t="shared" si="101"/>
        <v>-34.832070380029776</v>
      </c>
      <c r="DM46" s="92">
        <f t="shared" si="102"/>
        <v>37.614211201332125</v>
      </c>
      <c r="DN46" s="92">
        <f t="shared" si="103"/>
        <v>-36.162709749429233</v>
      </c>
      <c r="DO46" s="93">
        <f t="shared" si="104"/>
        <v>41.308260101890056</v>
      </c>
    </row>
    <row r="47" spans="1:119" x14ac:dyDescent="0.25">
      <c r="A47" s="12" t="s">
        <v>401</v>
      </c>
      <c r="B47" s="190">
        <f>IF(AND(Vout4&lt;&gt;0,Iout4&lt;&gt;0,Vout4_Ripple&lt;&gt;0),(Iout4*B7)/(Fsw*Vout4_Ripple*(10^-3)),0)</f>
        <v>0</v>
      </c>
      <c r="C47" s="12" t="s">
        <v>351</v>
      </c>
      <c r="K47" s="58">
        <v>43</v>
      </c>
      <c r="L47" s="131">
        <f t="shared" si="55"/>
        <v>42.54</v>
      </c>
      <c r="M47" s="130">
        <f t="shared" si="56"/>
        <v>0.15671524839366871</v>
      </c>
      <c r="N47" s="132">
        <f t="shared" si="0"/>
        <v>7.7252828985213837E-2</v>
      </c>
      <c r="O47" s="52">
        <f t="shared" si="57"/>
        <v>5.4625999241289379E-2</v>
      </c>
      <c r="P47" s="21">
        <f t="shared" si="58"/>
        <v>2.0286020648339487</v>
      </c>
      <c r="Q47" s="19">
        <f t="shared" si="59"/>
        <v>4.0572041296678973</v>
      </c>
      <c r="R47" s="6">
        <f t="shared" si="105"/>
        <v>2.400833045278377</v>
      </c>
      <c r="S47" s="55">
        <f t="shared" si="60"/>
        <v>0.65106361848118599</v>
      </c>
      <c r="T47" s="133">
        <f t="shared" si="61"/>
        <v>0.63192101265168099</v>
      </c>
      <c r="U47" s="54">
        <f t="shared" si="106"/>
        <v>0.23706792697452767</v>
      </c>
      <c r="V47" s="21">
        <f t="shared" si="107"/>
        <v>4.2182002971133556</v>
      </c>
      <c r="W47" s="21">
        <f t="shared" si="63"/>
        <v>1.185776861683703</v>
      </c>
      <c r="X47" s="63">
        <f t="shared" si="64"/>
        <v>1.0752054527877226</v>
      </c>
      <c r="Y47" s="54">
        <f t="shared" si="108"/>
        <v>0.23706792697452767</v>
      </c>
      <c r="Z47" s="21">
        <f t="shared" si="109"/>
        <v>4.2182002971133556</v>
      </c>
      <c r="AA47" s="21">
        <f t="shared" si="65"/>
        <v>1.185776861683703</v>
      </c>
      <c r="AB47" s="63">
        <f t="shared" si="66"/>
        <v>1.0752054527877226</v>
      </c>
      <c r="AC47" s="52">
        <f t="shared" si="110"/>
        <v>0</v>
      </c>
      <c r="AD47" s="21">
        <f t="shared" si="111"/>
        <v>0</v>
      </c>
      <c r="AE47" s="21">
        <f t="shared" si="67"/>
        <v>0</v>
      </c>
      <c r="AF47" s="63">
        <f t="shared" si="68"/>
        <v>0</v>
      </c>
      <c r="AG47" s="52">
        <f t="shared" si="112"/>
        <v>0</v>
      </c>
      <c r="AH47" s="21">
        <f t="shared" si="113"/>
        <v>0</v>
      </c>
      <c r="AI47" s="21">
        <f t="shared" si="69"/>
        <v>0</v>
      </c>
      <c r="AJ47" s="63">
        <f t="shared" si="70"/>
        <v>0</v>
      </c>
      <c r="AK47" s="52">
        <f t="shared" si="114"/>
        <v>0</v>
      </c>
      <c r="AL47" s="21">
        <f t="shared" si="115"/>
        <v>0</v>
      </c>
      <c r="AM47" s="21">
        <f t="shared" si="71"/>
        <v>0</v>
      </c>
      <c r="AN47" s="63">
        <f t="shared" si="72"/>
        <v>0</v>
      </c>
      <c r="AO47" s="52">
        <f t="shared" si="116"/>
        <v>0</v>
      </c>
      <c r="AP47" s="21">
        <f t="shared" si="117"/>
        <v>0</v>
      </c>
      <c r="AQ47" s="21">
        <f t="shared" si="74"/>
        <v>0</v>
      </c>
      <c r="AR47" s="181">
        <f t="shared" si="75"/>
        <v>0</v>
      </c>
      <c r="AS47" s="52">
        <f t="shared" si="118"/>
        <v>0.15133499330954489</v>
      </c>
      <c r="AT47" s="21">
        <f t="shared" si="119"/>
        <v>1.3215714067592701</v>
      </c>
      <c r="AU47" s="21">
        <f t="shared" si="120"/>
        <v>0.2968244606676107</v>
      </c>
      <c r="AV47" s="63">
        <f t="shared" si="121"/>
        <v>0.2794722892356557</v>
      </c>
      <c r="AW47" s="182">
        <f t="shared" si="76"/>
        <v>9.2209184765179461E-2</v>
      </c>
      <c r="AX47" s="52">
        <f t="shared" si="77"/>
        <v>0</v>
      </c>
      <c r="AY47" s="74">
        <f t="shared" si="78"/>
        <v>0</v>
      </c>
      <c r="AZ47" s="78">
        <f t="shared" si="79"/>
        <v>0</v>
      </c>
      <c r="BA47" s="87">
        <f t="shared" si="80"/>
        <v>0</v>
      </c>
      <c r="BB47" s="110">
        <f t="shared" si="81"/>
        <v>389.58111577303015</v>
      </c>
      <c r="BC47" s="69">
        <f t="shared" si="82"/>
        <v>0.29218583682977262</v>
      </c>
      <c r="BD47" s="42">
        <f t="shared" si="83"/>
        <v>375.77078305839683</v>
      </c>
      <c r="BE47" s="79">
        <f t="shared" si="84"/>
        <v>0.28182808729379766</v>
      </c>
      <c r="BF47" s="117">
        <f t="shared" si="122"/>
        <v>8.0188908431244545E-4</v>
      </c>
      <c r="BG47" s="118">
        <f t="shared" si="123"/>
        <v>1.3038192370239449E-2</v>
      </c>
      <c r="BH47" s="117">
        <f t="shared" si="124"/>
        <v>6.1943381790359594E-4</v>
      </c>
      <c r="BI47" s="118">
        <f t="shared" si="125"/>
        <v>2.6865194238630905E-2</v>
      </c>
      <c r="BJ47" s="117">
        <f t="shared" si="126"/>
        <v>6.1943381790359594E-4</v>
      </c>
      <c r="BK47" s="118">
        <f t="shared" si="127"/>
        <v>2.6865194238630905E-2</v>
      </c>
      <c r="BL47" s="91">
        <f t="shared" si="128"/>
        <v>0</v>
      </c>
      <c r="BM47" s="93">
        <f t="shared" si="129"/>
        <v>0</v>
      </c>
      <c r="BN47" s="91">
        <f t="shared" si="130"/>
        <v>0</v>
      </c>
      <c r="BO47" s="93">
        <f t="shared" si="131"/>
        <v>0</v>
      </c>
      <c r="BP47" s="91">
        <f t="shared" si="132"/>
        <v>0</v>
      </c>
      <c r="BQ47" s="93">
        <f t="shared" si="133"/>
        <v>0</v>
      </c>
      <c r="BR47" s="91">
        <f t="shared" si="134"/>
        <v>0</v>
      </c>
      <c r="BS47" s="93">
        <f t="shared" si="135"/>
        <v>0</v>
      </c>
      <c r="BT47" s="188">
        <f t="shared" si="136"/>
        <v>4.7302218821729144E-5</v>
      </c>
      <c r="BU47" s="93">
        <f t="shared" si="137"/>
        <v>3.4650633806579114E-3</v>
      </c>
      <c r="BV47" s="117">
        <f t="shared" si="85"/>
        <v>7.2321703167100529E-2</v>
      </c>
      <c r="BW47" s="206">
        <f t="shared" si="86"/>
        <v>7.2321703167100529E-2</v>
      </c>
      <c r="BX47" s="206">
        <f t="shared" si="87"/>
        <v>7.2321703167100529E-2</v>
      </c>
      <c r="BY47" s="97">
        <f t="shared" si="88"/>
        <v>0.36450753999687313</v>
      </c>
      <c r="BZ47" s="123">
        <f t="shared" si="89"/>
        <v>0.35414979046089817</v>
      </c>
      <c r="CA47" s="91">
        <f t="shared" si="90"/>
        <v>1.71917683553625E-3</v>
      </c>
      <c r="CB47" s="92">
        <f t="shared" si="138"/>
        <v>2.5000000000000001E-3</v>
      </c>
      <c r="CC47" s="92">
        <f t="shared" si="139"/>
        <v>2.5000000000000001E-3</v>
      </c>
      <c r="CD47" s="92">
        <f t="shared" si="140"/>
        <v>0</v>
      </c>
      <c r="CE47" s="92">
        <f t="shared" si="141"/>
        <v>0</v>
      </c>
      <c r="CF47" s="92">
        <f t="shared" si="142"/>
        <v>0</v>
      </c>
      <c r="CG47" s="92">
        <f t="shared" si="143"/>
        <v>0</v>
      </c>
      <c r="CH47" s="92">
        <f t="shared" si="144"/>
        <v>1.0000000000000002E-4</v>
      </c>
      <c r="CI47" s="127">
        <f t="shared" si="91"/>
        <v>6.8191768355362501E-3</v>
      </c>
      <c r="CJ47" s="91">
        <f t="shared" si="92"/>
        <v>1.2279834539544643E-4</v>
      </c>
      <c r="CK47" s="92">
        <f t="shared" si="145"/>
        <v>3.0000000000000002E-2</v>
      </c>
      <c r="CL47" s="92">
        <f t="shared" si="146"/>
        <v>0.11549999999999999</v>
      </c>
      <c r="CM47" s="127">
        <f t="shared" si="93"/>
        <v>0.14562279834539543</v>
      </c>
      <c r="CN47" s="91">
        <f t="shared" si="147"/>
        <v>0.15</v>
      </c>
      <c r="CO47" s="92">
        <f t="shared" si="148"/>
        <v>0.15</v>
      </c>
      <c r="CP47" s="92">
        <f t="shared" si="149"/>
        <v>0</v>
      </c>
      <c r="CQ47" s="92">
        <f t="shared" si="150"/>
        <v>0</v>
      </c>
      <c r="CR47" s="92">
        <f t="shared" si="151"/>
        <v>0</v>
      </c>
      <c r="CS47" s="92">
        <f t="shared" si="152"/>
        <v>0</v>
      </c>
      <c r="CT47" s="92">
        <f t="shared" si="153"/>
        <v>0.03</v>
      </c>
      <c r="CU47" s="127">
        <f t="shared" si="154"/>
        <v>0.32999999999999996</v>
      </c>
      <c r="CV47" s="231">
        <f t="shared" si="155"/>
        <v>0.70993168313265098</v>
      </c>
      <c r="CW47" s="188">
        <f t="shared" si="156"/>
        <v>1.1923736583135827</v>
      </c>
      <c r="CX47" s="206">
        <f t="shared" si="157"/>
        <v>7.1923736583135831</v>
      </c>
      <c r="CY47" s="231">
        <f t="shared" si="158"/>
        <v>0.83421694770608423</v>
      </c>
      <c r="CZ47">
        <f t="shared" si="159"/>
        <v>51.028964346349746</v>
      </c>
      <c r="DA47">
        <f t="shared" si="160"/>
        <v>668.20021323437084</v>
      </c>
      <c r="DD47" s="22">
        <v>80000</v>
      </c>
      <c r="DE47" s="22">
        <f t="shared" si="94"/>
        <v>502654.82457436691</v>
      </c>
      <c r="DF47" s="91">
        <f t="shared" si="95"/>
        <v>-6.2904557085443633</v>
      </c>
      <c r="DG47" s="93">
        <f t="shared" si="96"/>
        <v>-83.119574637300943</v>
      </c>
      <c r="DH47" s="91">
        <f t="shared" si="97"/>
        <v>-30.557920021474988</v>
      </c>
      <c r="DI47" s="92">
        <f t="shared" si="98"/>
        <v>118.03164678335909</v>
      </c>
      <c r="DJ47" s="92">
        <f t="shared" si="99"/>
        <v>-31.823340288049224</v>
      </c>
      <c r="DK47" s="93">
        <f t="shared" si="100"/>
        <v>121.51507764651127</v>
      </c>
      <c r="DL47" s="91">
        <f t="shared" si="101"/>
        <v>-36.848375730019349</v>
      </c>
      <c r="DM47" s="92">
        <f t="shared" si="102"/>
        <v>34.912072146058151</v>
      </c>
      <c r="DN47" s="92">
        <f t="shared" si="103"/>
        <v>-38.113795996593588</v>
      </c>
      <c r="DO47" s="93">
        <f t="shared" si="104"/>
        <v>38.39550300921033</v>
      </c>
    </row>
    <row r="48" spans="1:119" x14ac:dyDescent="0.25">
      <c r="A48" s="12" t="s">
        <v>402</v>
      </c>
      <c r="B48" s="190">
        <f>COUT4_FlyB_DCM</f>
        <v>0</v>
      </c>
      <c r="C48" s="12" t="s">
        <v>351</v>
      </c>
      <c r="K48" s="58">
        <v>44</v>
      </c>
      <c r="L48" s="131">
        <f t="shared" si="55"/>
        <v>43.32</v>
      </c>
      <c r="M48" s="130">
        <f t="shared" si="56"/>
        <v>0.15389350569405968</v>
      </c>
      <c r="N48" s="132">
        <f t="shared" si="0"/>
        <v>7.5861850069967596E-2</v>
      </c>
      <c r="O48" s="52">
        <f t="shared" si="57"/>
        <v>5.3642428617831257E-2</v>
      </c>
      <c r="P48" s="21">
        <f t="shared" si="58"/>
        <v>2.0286020648339487</v>
      </c>
      <c r="Q48" s="19">
        <f t="shared" si="59"/>
        <v>4.0572041296678973</v>
      </c>
      <c r="R48" s="6">
        <f t="shared" si="105"/>
        <v>2.3949450446620788</v>
      </c>
      <c r="S48" s="55">
        <f t="shared" si="60"/>
        <v>0.64517561786488753</v>
      </c>
      <c r="T48" s="133">
        <f t="shared" si="61"/>
        <v>0.62655276457177322</v>
      </c>
      <c r="U48" s="54">
        <f t="shared" si="106"/>
        <v>0.23706792697452767</v>
      </c>
      <c r="V48" s="21">
        <f t="shared" si="107"/>
        <v>4.2182002971133556</v>
      </c>
      <c r="W48" s="21">
        <f t="shared" si="63"/>
        <v>1.185776861683703</v>
      </c>
      <c r="X48" s="63">
        <f t="shared" si="64"/>
        <v>1.0752054527877226</v>
      </c>
      <c r="Y48" s="54">
        <f t="shared" si="108"/>
        <v>0.23706792697452767</v>
      </c>
      <c r="Z48" s="21">
        <f t="shared" si="109"/>
        <v>4.2182002971133556</v>
      </c>
      <c r="AA48" s="21">
        <f t="shared" si="65"/>
        <v>1.185776861683703</v>
      </c>
      <c r="AB48" s="63">
        <f t="shared" si="66"/>
        <v>1.0752054527877226</v>
      </c>
      <c r="AC48" s="52">
        <f t="shared" si="110"/>
        <v>0</v>
      </c>
      <c r="AD48" s="21">
        <f t="shared" si="111"/>
        <v>0</v>
      </c>
      <c r="AE48" s="21">
        <f t="shared" si="67"/>
        <v>0</v>
      </c>
      <c r="AF48" s="63">
        <f t="shared" si="68"/>
        <v>0</v>
      </c>
      <c r="AG48" s="52">
        <f t="shared" si="112"/>
        <v>0</v>
      </c>
      <c r="AH48" s="21">
        <f t="shared" si="113"/>
        <v>0</v>
      </c>
      <c r="AI48" s="21">
        <f t="shared" si="69"/>
        <v>0</v>
      </c>
      <c r="AJ48" s="63">
        <f t="shared" si="70"/>
        <v>0</v>
      </c>
      <c r="AK48" s="52">
        <f t="shared" si="114"/>
        <v>0</v>
      </c>
      <c r="AL48" s="21">
        <f t="shared" si="115"/>
        <v>0</v>
      </c>
      <c r="AM48" s="21">
        <f t="shared" si="71"/>
        <v>0</v>
      </c>
      <c r="AN48" s="63">
        <f t="shared" si="72"/>
        <v>0</v>
      </c>
      <c r="AO48" s="52">
        <f t="shared" si="116"/>
        <v>0</v>
      </c>
      <c r="AP48" s="21">
        <f t="shared" si="117"/>
        <v>0</v>
      </c>
      <c r="AQ48" s="21">
        <f t="shared" si="74"/>
        <v>0</v>
      </c>
      <c r="AR48" s="181">
        <f t="shared" si="75"/>
        <v>0</v>
      </c>
      <c r="AS48" s="52">
        <f t="shared" si="118"/>
        <v>0.15133499330954489</v>
      </c>
      <c r="AT48" s="21">
        <f t="shared" si="119"/>
        <v>1.3215714067592701</v>
      </c>
      <c r="AU48" s="21">
        <f t="shared" si="120"/>
        <v>0.2968244606676107</v>
      </c>
      <c r="AV48" s="63">
        <f t="shared" si="121"/>
        <v>0.2794722892356557</v>
      </c>
      <c r="AW48" s="182">
        <f t="shared" si="76"/>
        <v>9.2209184765179461E-2</v>
      </c>
      <c r="AX48" s="52">
        <f t="shared" si="77"/>
        <v>0</v>
      </c>
      <c r="AY48" s="74">
        <f t="shared" si="78"/>
        <v>0</v>
      </c>
      <c r="AZ48" s="78">
        <f t="shared" si="79"/>
        <v>0</v>
      </c>
      <c r="BA48" s="87">
        <f t="shared" si="80"/>
        <v>0</v>
      </c>
      <c r="BB48" s="110">
        <f t="shared" si="81"/>
        <v>389.58111577303015</v>
      </c>
      <c r="BC48" s="69">
        <f t="shared" si="82"/>
        <v>0.29218583682977262</v>
      </c>
      <c r="BD48" s="42">
        <f t="shared" si="83"/>
        <v>375.77078305839683</v>
      </c>
      <c r="BE48" s="79">
        <f t="shared" si="84"/>
        <v>0.28182808729379766</v>
      </c>
      <c r="BF48" s="117">
        <f t="shared" si="122"/>
        <v>7.7327216410107396E-4</v>
      </c>
      <c r="BG48" s="118">
        <f t="shared" si="123"/>
        <v>1.2817611147917341E-2</v>
      </c>
      <c r="BH48" s="117">
        <f t="shared" si="124"/>
        <v>6.1943381790359594E-4</v>
      </c>
      <c r="BI48" s="118">
        <f t="shared" si="125"/>
        <v>2.6865194238630905E-2</v>
      </c>
      <c r="BJ48" s="117">
        <f t="shared" si="126"/>
        <v>6.1943381790359594E-4</v>
      </c>
      <c r="BK48" s="118">
        <f t="shared" si="127"/>
        <v>2.6865194238630905E-2</v>
      </c>
      <c r="BL48" s="91">
        <f t="shared" si="128"/>
        <v>0</v>
      </c>
      <c r="BM48" s="93">
        <f t="shared" si="129"/>
        <v>0</v>
      </c>
      <c r="BN48" s="91">
        <f t="shared" si="130"/>
        <v>0</v>
      </c>
      <c r="BO48" s="93">
        <f t="shared" si="131"/>
        <v>0</v>
      </c>
      <c r="BP48" s="91">
        <f t="shared" si="132"/>
        <v>0</v>
      </c>
      <c r="BQ48" s="93">
        <f t="shared" si="133"/>
        <v>0</v>
      </c>
      <c r="BR48" s="91">
        <f t="shared" si="134"/>
        <v>0</v>
      </c>
      <c r="BS48" s="93">
        <f t="shared" si="135"/>
        <v>0</v>
      </c>
      <c r="BT48" s="188">
        <f t="shared" si="136"/>
        <v>4.7302218821729144E-5</v>
      </c>
      <c r="BU48" s="93">
        <f t="shared" si="137"/>
        <v>3.4650633806579114E-3</v>
      </c>
      <c r="BV48" s="117">
        <f t="shared" si="85"/>
        <v>7.2072505024567052E-2</v>
      </c>
      <c r="BW48" s="206">
        <f t="shared" si="86"/>
        <v>7.2072505024567052E-2</v>
      </c>
      <c r="BX48" s="206">
        <f t="shared" si="87"/>
        <v>7.2072505024567052E-2</v>
      </c>
      <c r="BY48" s="97">
        <f t="shared" si="88"/>
        <v>0.3642583418543397</v>
      </c>
      <c r="BZ48" s="123">
        <f t="shared" si="89"/>
        <v>0.35390059231836468</v>
      </c>
      <c r="CA48" s="91">
        <f t="shared" si="90"/>
        <v>1.6578247766365309E-3</v>
      </c>
      <c r="CB48" s="92">
        <f t="shared" si="138"/>
        <v>2.5000000000000001E-3</v>
      </c>
      <c r="CC48" s="92">
        <f t="shared" si="139"/>
        <v>2.5000000000000001E-3</v>
      </c>
      <c r="CD48" s="92">
        <f t="shared" si="140"/>
        <v>0</v>
      </c>
      <c r="CE48" s="92">
        <f t="shared" si="141"/>
        <v>0</v>
      </c>
      <c r="CF48" s="92">
        <f t="shared" si="142"/>
        <v>0</v>
      </c>
      <c r="CG48" s="92">
        <f t="shared" si="143"/>
        <v>0</v>
      </c>
      <c r="CH48" s="92">
        <f t="shared" si="144"/>
        <v>1.0000000000000002E-4</v>
      </c>
      <c r="CI48" s="127">
        <f t="shared" si="91"/>
        <v>6.7578247766365311E-3</v>
      </c>
      <c r="CJ48" s="91">
        <f t="shared" si="92"/>
        <v>1.1841605547403791E-4</v>
      </c>
      <c r="CK48" s="92">
        <f t="shared" si="145"/>
        <v>2.9999999999999995E-2</v>
      </c>
      <c r="CL48" s="92">
        <f t="shared" si="146"/>
        <v>0.11549999999999999</v>
      </c>
      <c r="CM48" s="127">
        <f t="shared" si="93"/>
        <v>0.14561841605547401</v>
      </c>
      <c r="CN48" s="91">
        <f t="shared" si="147"/>
        <v>0.15</v>
      </c>
      <c r="CO48" s="92">
        <f t="shared" si="148"/>
        <v>0.15</v>
      </c>
      <c r="CP48" s="92">
        <f t="shared" si="149"/>
        <v>0</v>
      </c>
      <c r="CQ48" s="92">
        <f t="shared" si="150"/>
        <v>0</v>
      </c>
      <c r="CR48" s="92">
        <f t="shared" si="151"/>
        <v>0</v>
      </c>
      <c r="CS48" s="92">
        <f t="shared" si="152"/>
        <v>0</v>
      </c>
      <c r="CT48" s="92">
        <f t="shared" si="153"/>
        <v>0.03</v>
      </c>
      <c r="CU48" s="127">
        <f t="shared" si="154"/>
        <v>0.32999999999999996</v>
      </c>
      <c r="CV48" s="231">
        <f t="shared" si="155"/>
        <v>0.70867634873333007</v>
      </c>
      <c r="CW48" s="188">
        <f t="shared" si="156"/>
        <v>1.1910525895654405</v>
      </c>
      <c r="CX48" s="206">
        <f t="shared" si="157"/>
        <v>7.1910525895654409</v>
      </c>
      <c r="CY48" s="231">
        <f t="shared" si="158"/>
        <v>0.83437020175687282</v>
      </c>
      <c r="CZ48">
        <f t="shared" si="159"/>
        <v>51.808964346349747</v>
      </c>
      <c r="DA48">
        <f t="shared" si="160"/>
        <v>668.98021323437092</v>
      </c>
      <c r="DD48" s="22">
        <v>90000</v>
      </c>
      <c r="DE48" s="22">
        <f t="shared" si="94"/>
        <v>565486.6776461628</v>
      </c>
      <c r="DF48" s="91">
        <f t="shared" si="95"/>
        <v>-7.3016187180622882</v>
      </c>
      <c r="DG48" s="93">
        <f t="shared" si="96"/>
        <v>-82.534312216453941</v>
      </c>
      <c r="DH48" s="91">
        <f t="shared" si="97"/>
        <v>-31.368284494418425</v>
      </c>
      <c r="DI48" s="92">
        <f t="shared" si="98"/>
        <v>115.34722678282743</v>
      </c>
      <c r="DJ48" s="92">
        <f t="shared" si="99"/>
        <v>-32.582795070298161</v>
      </c>
      <c r="DK48" s="93">
        <f t="shared" si="100"/>
        <v>118.61791920286579</v>
      </c>
      <c r="DL48" s="91">
        <f t="shared" si="101"/>
        <v>-38.669903212480712</v>
      </c>
      <c r="DM48" s="92">
        <f t="shared" si="102"/>
        <v>32.812914566373493</v>
      </c>
      <c r="DN48" s="92">
        <f t="shared" si="103"/>
        <v>-39.884413788360447</v>
      </c>
      <c r="DO48" s="93">
        <f t="shared" si="104"/>
        <v>36.083606986411851</v>
      </c>
    </row>
    <row r="49" spans="1:119" x14ac:dyDescent="0.25">
      <c r="A49" s="12" t="s">
        <v>403</v>
      </c>
      <c r="B49" s="190">
        <f>IF(AND(Vout5&lt;&gt;0,Iout5&lt;&gt;0,Vout5_Ripple&lt;&gt;0),(Iout5*B7)/(Fsw*Vout5_Ripple*(10^-3)),0)</f>
        <v>0</v>
      </c>
      <c r="C49" s="12" t="s">
        <v>351</v>
      </c>
      <c r="K49" s="58">
        <v>45</v>
      </c>
      <c r="L49" s="131">
        <f t="shared" si="55"/>
        <v>44.1</v>
      </c>
      <c r="M49" s="130">
        <f t="shared" si="56"/>
        <v>0.15117157974300832</v>
      </c>
      <c r="N49" s="132">
        <f t="shared" si="0"/>
        <v>7.4520075851043005E-2</v>
      </c>
      <c r="O49" s="52">
        <f t="shared" si="57"/>
        <v>5.2693650968808389E-2</v>
      </c>
      <c r="P49" s="21">
        <f t="shared" si="58"/>
        <v>2.0286020648339487</v>
      </c>
      <c r="Q49" s="19">
        <f t="shared" si="59"/>
        <v>4.0572041296678973</v>
      </c>
      <c r="R49" s="6">
        <f t="shared" si="105"/>
        <v>2.3892139553383061</v>
      </c>
      <c r="S49" s="55">
        <f t="shared" si="60"/>
        <v>0.639444528541115</v>
      </c>
      <c r="T49" s="133">
        <f t="shared" si="61"/>
        <v>0.62131832305121348</v>
      </c>
      <c r="U49" s="54">
        <f t="shared" si="106"/>
        <v>0.23706792697452767</v>
      </c>
      <c r="V49" s="21">
        <f t="shared" si="107"/>
        <v>4.2182002971133556</v>
      </c>
      <c r="W49" s="21">
        <f t="shared" si="63"/>
        <v>1.185776861683703</v>
      </c>
      <c r="X49" s="63">
        <f t="shared" si="64"/>
        <v>1.0752054527877226</v>
      </c>
      <c r="Y49" s="54">
        <f t="shared" si="108"/>
        <v>0.23706792697452767</v>
      </c>
      <c r="Z49" s="21">
        <f t="shared" si="109"/>
        <v>4.2182002971133556</v>
      </c>
      <c r="AA49" s="21">
        <f t="shared" si="65"/>
        <v>1.185776861683703</v>
      </c>
      <c r="AB49" s="63">
        <f t="shared" si="66"/>
        <v>1.0752054527877226</v>
      </c>
      <c r="AC49" s="52">
        <f t="shared" si="110"/>
        <v>0</v>
      </c>
      <c r="AD49" s="21">
        <f t="shared" si="111"/>
        <v>0</v>
      </c>
      <c r="AE49" s="21">
        <f t="shared" si="67"/>
        <v>0</v>
      </c>
      <c r="AF49" s="63">
        <f t="shared" si="68"/>
        <v>0</v>
      </c>
      <c r="AG49" s="52">
        <f t="shared" si="112"/>
        <v>0</v>
      </c>
      <c r="AH49" s="21">
        <f t="shared" si="113"/>
        <v>0</v>
      </c>
      <c r="AI49" s="21">
        <f t="shared" si="69"/>
        <v>0</v>
      </c>
      <c r="AJ49" s="63">
        <f t="shared" si="70"/>
        <v>0</v>
      </c>
      <c r="AK49" s="52">
        <f t="shared" si="114"/>
        <v>0</v>
      </c>
      <c r="AL49" s="21">
        <f t="shared" si="115"/>
        <v>0</v>
      </c>
      <c r="AM49" s="21">
        <f t="shared" si="71"/>
        <v>0</v>
      </c>
      <c r="AN49" s="63">
        <f t="shared" si="72"/>
        <v>0</v>
      </c>
      <c r="AO49" s="52">
        <f t="shared" si="116"/>
        <v>0</v>
      </c>
      <c r="AP49" s="21">
        <f t="shared" si="117"/>
        <v>0</v>
      </c>
      <c r="AQ49" s="21">
        <f t="shared" si="74"/>
        <v>0</v>
      </c>
      <c r="AR49" s="181">
        <f t="shared" si="75"/>
        <v>0</v>
      </c>
      <c r="AS49" s="52">
        <f t="shared" si="118"/>
        <v>0.15133499330954489</v>
      </c>
      <c r="AT49" s="21">
        <f t="shared" si="119"/>
        <v>1.3215714067592701</v>
      </c>
      <c r="AU49" s="21">
        <f t="shared" si="120"/>
        <v>0.2968244606676107</v>
      </c>
      <c r="AV49" s="63">
        <f t="shared" si="121"/>
        <v>0.2794722892356557</v>
      </c>
      <c r="AW49" s="182">
        <f t="shared" si="76"/>
        <v>9.2209184765179461E-2</v>
      </c>
      <c r="AX49" s="52">
        <f t="shared" si="77"/>
        <v>0</v>
      </c>
      <c r="AY49" s="74">
        <f t="shared" si="78"/>
        <v>0</v>
      </c>
      <c r="AZ49" s="78">
        <f t="shared" si="79"/>
        <v>0</v>
      </c>
      <c r="BA49" s="87">
        <f t="shared" si="80"/>
        <v>0</v>
      </c>
      <c r="BB49" s="110">
        <f t="shared" si="81"/>
        <v>389.58111577303015</v>
      </c>
      <c r="BC49" s="69">
        <f t="shared" si="82"/>
        <v>0.29218583682977262</v>
      </c>
      <c r="BD49" s="42">
        <f t="shared" si="83"/>
        <v>375.77078305839683</v>
      </c>
      <c r="BE49" s="79">
        <f t="shared" si="84"/>
        <v>0.28182808729379766</v>
      </c>
      <c r="BF49" s="117">
        <f t="shared" si="122"/>
        <v>7.4616022359436237E-4</v>
      </c>
      <c r="BG49" s="118">
        <f t="shared" si="123"/>
        <v>1.2604340118279508E-2</v>
      </c>
      <c r="BH49" s="117">
        <f t="shared" si="124"/>
        <v>6.1943381790359594E-4</v>
      </c>
      <c r="BI49" s="118">
        <f t="shared" si="125"/>
        <v>2.6865194238630905E-2</v>
      </c>
      <c r="BJ49" s="117">
        <f t="shared" si="126"/>
        <v>6.1943381790359594E-4</v>
      </c>
      <c r="BK49" s="118">
        <f t="shared" si="127"/>
        <v>2.6865194238630905E-2</v>
      </c>
      <c r="BL49" s="91">
        <f t="shared" si="128"/>
        <v>0</v>
      </c>
      <c r="BM49" s="93">
        <f t="shared" si="129"/>
        <v>0</v>
      </c>
      <c r="BN49" s="91">
        <f t="shared" si="130"/>
        <v>0</v>
      </c>
      <c r="BO49" s="93">
        <f t="shared" si="131"/>
        <v>0</v>
      </c>
      <c r="BP49" s="91">
        <f t="shared" si="132"/>
        <v>0</v>
      </c>
      <c r="BQ49" s="93">
        <f t="shared" si="133"/>
        <v>0</v>
      </c>
      <c r="BR49" s="91">
        <f t="shared" si="134"/>
        <v>0</v>
      </c>
      <c r="BS49" s="93">
        <f t="shared" si="135"/>
        <v>0</v>
      </c>
      <c r="BT49" s="188">
        <f t="shared" si="136"/>
        <v>4.7302218821729144E-5</v>
      </c>
      <c r="BU49" s="93">
        <f t="shared" si="137"/>
        <v>3.4650633806579114E-3</v>
      </c>
      <c r="BV49" s="117">
        <f t="shared" si="85"/>
        <v>7.1832122054422506E-2</v>
      </c>
      <c r="BW49" s="206">
        <f t="shared" si="86"/>
        <v>7.1832122054422506E-2</v>
      </c>
      <c r="BX49" s="206">
        <f t="shared" si="87"/>
        <v>7.1832122054422506E-2</v>
      </c>
      <c r="BY49" s="97">
        <f t="shared" si="88"/>
        <v>0.36401795888419514</v>
      </c>
      <c r="BZ49" s="123">
        <f t="shared" si="89"/>
        <v>0.35366020934822018</v>
      </c>
      <c r="CA49" s="91">
        <f t="shared" si="90"/>
        <v>1.5996992565397708E-3</v>
      </c>
      <c r="CB49" s="92">
        <f t="shared" si="138"/>
        <v>2.5000000000000001E-3</v>
      </c>
      <c r="CC49" s="92">
        <f t="shared" si="139"/>
        <v>2.5000000000000001E-3</v>
      </c>
      <c r="CD49" s="92">
        <f t="shared" si="140"/>
        <v>0</v>
      </c>
      <c r="CE49" s="92">
        <f t="shared" si="141"/>
        <v>0</v>
      </c>
      <c r="CF49" s="92">
        <f t="shared" si="142"/>
        <v>0</v>
      </c>
      <c r="CG49" s="92">
        <f t="shared" si="143"/>
        <v>0</v>
      </c>
      <c r="CH49" s="92">
        <f t="shared" si="144"/>
        <v>1.0000000000000002E-4</v>
      </c>
      <c r="CI49" s="127">
        <f t="shared" si="91"/>
        <v>6.6996992565397711E-3</v>
      </c>
      <c r="CJ49" s="91">
        <f t="shared" si="92"/>
        <v>1.1426423260998362E-4</v>
      </c>
      <c r="CK49" s="92">
        <f t="shared" si="145"/>
        <v>3.0000000000000002E-2</v>
      </c>
      <c r="CL49" s="92">
        <f t="shared" si="146"/>
        <v>0.11549999999999999</v>
      </c>
      <c r="CM49" s="127">
        <f t="shared" si="93"/>
        <v>0.14561426423260998</v>
      </c>
      <c r="CN49" s="91">
        <f t="shared" si="147"/>
        <v>0.15</v>
      </c>
      <c r="CO49" s="92">
        <f t="shared" si="148"/>
        <v>0.15</v>
      </c>
      <c r="CP49" s="92">
        <f t="shared" si="149"/>
        <v>0</v>
      </c>
      <c r="CQ49" s="92">
        <f t="shared" si="150"/>
        <v>0</v>
      </c>
      <c r="CR49" s="92">
        <f t="shared" si="151"/>
        <v>0</v>
      </c>
      <c r="CS49" s="92">
        <f t="shared" si="152"/>
        <v>0</v>
      </c>
      <c r="CT49" s="92">
        <f t="shared" si="153"/>
        <v>0.03</v>
      </c>
      <c r="CU49" s="127">
        <f t="shared" si="154"/>
        <v>0.32999999999999996</v>
      </c>
      <c r="CV49" s="231">
        <f t="shared" si="155"/>
        <v>0.70739060040077051</v>
      </c>
      <c r="CW49" s="188">
        <f t="shared" si="156"/>
        <v>1.1897045638899202</v>
      </c>
      <c r="CX49" s="206">
        <f t="shared" si="157"/>
        <v>7.1897045638899204</v>
      </c>
      <c r="CY49" s="231">
        <f t="shared" si="158"/>
        <v>0.83452664107157104</v>
      </c>
      <c r="CZ49">
        <f t="shared" si="159"/>
        <v>52.588964346349748</v>
      </c>
      <c r="DA49">
        <f t="shared" si="160"/>
        <v>669.76021323437089</v>
      </c>
      <c r="DD49" s="22">
        <v>100000</v>
      </c>
      <c r="DE49" s="22">
        <f t="shared" si="94"/>
        <v>628318.53071795858</v>
      </c>
      <c r="DF49" s="91">
        <f t="shared" si="95"/>
        <v>-8.2036637485331951</v>
      </c>
      <c r="DG49" s="93">
        <f t="shared" si="96"/>
        <v>-81.925730523660349</v>
      </c>
      <c r="DH49" s="91">
        <f t="shared" si="97"/>
        <v>-32.124642766446307</v>
      </c>
      <c r="DI49" s="92">
        <f t="shared" si="98"/>
        <v>113.1042416913407</v>
      </c>
      <c r="DJ49" s="92">
        <f t="shared" si="99"/>
        <v>-33.29906720206813</v>
      </c>
      <c r="DK49" s="93">
        <f t="shared" si="100"/>
        <v>116.17142065062431</v>
      </c>
      <c r="DL49" s="91">
        <f t="shared" si="101"/>
        <v>-40.328306514979502</v>
      </c>
      <c r="DM49" s="92">
        <f t="shared" si="102"/>
        <v>31.178511167680355</v>
      </c>
      <c r="DN49" s="92">
        <f t="shared" si="103"/>
        <v>-41.502730950601325</v>
      </c>
      <c r="DO49" s="93">
        <f t="shared" si="104"/>
        <v>34.245690126963964</v>
      </c>
    </row>
    <row r="50" spans="1:119" x14ac:dyDescent="0.25">
      <c r="A50" s="12" t="s">
        <v>404</v>
      </c>
      <c r="B50" s="190">
        <f>COUT5_FlyB_DCM</f>
        <v>0</v>
      </c>
      <c r="C50" s="12" t="s">
        <v>351</v>
      </c>
      <c r="K50" s="58">
        <v>46</v>
      </c>
      <c r="L50" s="131">
        <f t="shared" si="55"/>
        <v>44.88</v>
      </c>
      <c r="M50" s="130">
        <f t="shared" si="56"/>
        <v>0.14854426619132502</v>
      </c>
      <c r="N50" s="132">
        <f t="shared" si="0"/>
        <v>7.3224940842936639E-2</v>
      </c>
      <c r="O50" s="52">
        <f t="shared" si="57"/>
        <v>5.177785222202428E-2</v>
      </c>
      <c r="P50" s="21">
        <f t="shared" si="58"/>
        <v>2.0286020648339487</v>
      </c>
      <c r="Q50" s="19">
        <f t="shared" si="59"/>
        <v>4.0572041296678973</v>
      </c>
      <c r="R50" s="6">
        <f t="shared" si="105"/>
        <v>2.3836329295746328</v>
      </c>
      <c r="S50" s="55">
        <f t="shared" si="60"/>
        <v>0.63386350277744141</v>
      </c>
      <c r="T50" s="133">
        <f t="shared" si="61"/>
        <v>0.61621225331452822</v>
      </c>
      <c r="U50" s="54">
        <f t="shared" si="106"/>
        <v>0.23706792697452767</v>
      </c>
      <c r="V50" s="21">
        <f t="shared" si="107"/>
        <v>4.2182002971133556</v>
      </c>
      <c r="W50" s="21">
        <f t="shared" si="63"/>
        <v>1.185776861683703</v>
      </c>
      <c r="X50" s="63">
        <f t="shared" si="64"/>
        <v>1.0752054527877226</v>
      </c>
      <c r="Y50" s="54">
        <f t="shared" si="108"/>
        <v>0.23706792697452767</v>
      </c>
      <c r="Z50" s="21">
        <f t="shared" si="109"/>
        <v>4.2182002971133556</v>
      </c>
      <c r="AA50" s="21">
        <f t="shared" si="65"/>
        <v>1.185776861683703</v>
      </c>
      <c r="AB50" s="63">
        <f t="shared" si="66"/>
        <v>1.0752054527877226</v>
      </c>
      <c r="AC50" s="52">
        <f t="shared" si="110"/>
        <v>0</v>
      </c>
      <c r="AD50" s="21">
        <f t="shared" si="111"/>
        <v>0</v>
      </c>
      <c r="AE50" s="21">
        <f t="shared" si="67"/>
        <v>0</v>
      </c>
      <c r="AF50" s="63">
        <f t="shared" si="68"/>
        <v>0</v>
      </c>
      <c r="AG50" s="52">
        <f t="shared" si="112"/>
        <v>0</v>
      </c>
      <c r="AH50" s="21">
        <f t="shared" si="113"/>
        <v>0</v>
      </c>
      <c r="AI50" s="21">
        <f t="shared" si="69"/>
        <v>0</v>
      </c>
      <c r="AJ50" s="63">
        <f t="shared" si="70"/>
        <v>0</v>
      </c>
      <c r="AK50" s="52">
        <f t="shared" si="114"/>
        <v>0</v>
      </c>
      <c r="AL50" s="21">
        <f t="shared" si="115"/>
        <v>0</v>
      </c>
      <c r="AM50" s="21">
        <f t="shared" si="71"/>
        <v>0</v>
      </c>
      <c r="AN50" s="63">
        <f t="shared" si="72"/>
        <v>0</v>
      </c>
      <c r="AO50" s="52">
        <f t="shared" si="116"/>
        <v>0</v>
      </c>
      <c r="AP50" s="21">
        <f t="shared" si="117"/>
        <v>0</v>
      </c>
      <c r="AQ50" s="21">
        <f t="shared" si="74"/>
        <v>0</v>
      </c>
      <c r="AR50" s="181">
        <f t="shared" si="75"/>
        <v>0</v>
      </c>
      <c r="AS50" s="52">
        <f t="shared" si="118"/>
        <v>0.15133499330954489</v>
      </c>
      <c r="AT50" s="21">
        <f t="shared" si="119"/>
        <v>1.3215714067592701</v>
      </c>
      <c r="AU50" s="21">
        <f t="shared" si="120"/>
        <v>0.2968244606676107</v>
      </c>
      <c r="AV50" s="63">
        <f t="shared" si="121"/>
        <v>0.2794722892356557</v>
      </c>
      <c r="AW50" s="182">
        <f t="shared" si="76"/>
        <v>9.2209184765179461E-2</v>
      </c>
      <c r="AX50" s="52">
        <f t="shared" si="77"/>
        <v>0</v>
      </c>
      <c r="AY50" s="74">
        <f t="shared" si="78"/>
        <v>0</v>
      </c>
      <c r="AZ50" s="78">
        <f t="shared" si="79"/>
        <v>0</v>
      </c>
      <c r="BA50" s="87">
        <f t="shared" si="80"/>
        <v>0</v>
      </c>
      <c r="BB50" s="110">
        <f t="shared" si="81"/>
        <v>389.58111577303015</v>
      </c>
      <c r="BC50" s="69">
        <f t="shared" si="82"/>
        <v>0.29218583682977262</v>
      </c>
      <c r="BD50" s="42">
        <f t="shared" si="83"/>
        <v>375.77078305839683</v>
      </c>
      <c r="BE50" s="79">
        <f t="shared" si="84"/>
        <v>0.28182808729379766</v>
      </c>
      <c r="BF50" s="117">
        <f t="shared" si="122"/>
        <v>7.2044955316005667E-4</v>
      </c>
      <c r="BG50" s="118">
        <f t="shared" si="123"/>
        <v>1.2398023376355044E-2</v>
      </c>
      <c r="BH50" s="117">
        <f t="shared" si="124"/>
        <v>6.1943381790359594E-4</v>
      </c>
      <c r="BI50" s="118">
        <f t="shared" si="125"/>
        <v>2.6865194238630905E-2</v>
      </c>
      <c r="BJ50" s="117">
        <f t="shared" si="126"/>
        <v>6.1943381790359594E-4</v>
      </c>
      <c r="BK50" s="118">
        <f t="shared" si="127"/>
        <v>2.6865194238630905E-2</v>
      </c>
      <c r="BL50" s="91">
        <f t="shared" si="128"/>
        <v>0</v>
      </c>
      <c r="BM50" s="93">
        <f t="shared" si="129"/>
        <v>0</v>
      </c>
      <c r="BN50" s="91">
        <f t="shared" si="130"/>
        <v>0</v>
      </c>
      <c r="BO50" s="93">
        <f t="shared" si="131"/>
        <v>0</v>
      </c>
      <c r="BP50" s="91">
        <f t="shared" si="132"/>
        <v>0</v>
      </c>
      <c r="BQ50" s="93">
        <f t="shared" si="133"/>
        <v>0</v>
      </c>
      <c r="BR50" s="91">
        <f t="shared" si="134"/>
        <v>0</v>
      </c>
      <c r="BS50" s="93">
        <f t="shared" si="135"/>
        <v>0</v>
      </c>
      <c r="BT50" s="188">
        <f t="shared" si="136"/>
        <v>4.7302218821729144E-5</v>
      </c>
      <c r="BU50" s="93">
        <f t="shared" si="137"/>
        <v>3.4650633806579114E-3</v>
      </c>
      <c r="BV50" s="117">
        <f t="shared" si="85"/>
        <v>7.1600094642063739E-2</v>
      </c>
      <c r="BW50" s="206">
        <f t="shared" si="86"/>
        <v>7.1600094642063739E-2</v>
      </c>
      <c r="BX50" s="206">
        <f t="shared" si="87"/>
        <v>7.1600094642063739E-2</v>
      </c>
      <c r="BY50" s="97">
        <f t="shared" si="88"/>
        <v>0.36378593147183635</v>
      </c>
      <c r="BZ50" s="123">
        <f t="shared" si="89"/>
        <v>0.3534281819358614</v>
      </c>
      <c r="CA50" s="91">
        <f t="shared" si="90"/>
        <v>1.5445779312823458E-3</v>
      </c>
      <c r="CB50" s="92">
        <f t="shared" si="138"/>
        <v>2.5000000000000001E-3</v>
      </c>
      <c r="CC50" s="92">
        <f t="shared" si="139"/>
        <v>2.5000000000000001E-3</v>
      </c>
      <c r="CD50" s="92">
        <f t="shared" si="140"/>
        <v>0</v>
      </c>
      <c r="CE50" s="92">
        <f t="shared" si="141"/>
        <v>0</v>
      </c>
      <c r="CF50" s="92">
        <f t="shared" si="142"/>
        <v>0</v>
      </c>
      <c r="CG50" s="92">
        <f t="shared" si="143"/>
        <v>0</v>
      </c>
      <c r="CH50" s="92">
        <f t="shared" si="144"/>
        <v>1.0000000000000002E-4</v>
      </c>
      <c r="CI50" s="127">
        <f t="shared" si="91"/>
        <v>6.644577931282346E-3</v>
      </c>
      <c r="CJ50" s="91">
        <f t="shared" si="92"/>
        <v>1.1032699509159612E-4</v>
      </c>
      <c r="CK50" s="92">
        <f t="shared" si="145"/>
        <v>3.0000000000000002E-2</v>
      </c>
      <c r="CL50" s="92">
        <f t="shared" si="146"/>
        <v>0.11549999999999999</v>
      </c>
      <c r="CM50" s="127">
        <f t="shared" si="93"/>
        <v>0.14561032699509158</v>
      </c>
      <c r="CN50" s="91">
        <f t="shared" si="147"/>
        <v>0.15</v>
      </c>
      <c r="CO50" s="92">
        <f t="shared" si="148"/>
        <v>0.15</v>
      </c>
      <c r="CP50" s="92">
        <f t="shared" si="149"/>
        <v>0</v>
      </c>
      <c r="CQ50" s="92">
        <f t="shared" si="150"/>
        <v>0</v>
      </c>
      <c r="CR50" s="92">
        <f t="shared" si="151"/>
        <v>0</v>
      </c>
      <c r="CS50" s="92">
        <f t="shared" si="152"/>
        <v>0</v>
      </c>
      <c r="CT50" s="92">
        <f t="shared" si="153"/>
        <v>0.03</v>
      </c>
      <c r="CU50" s="127">
        <f t="shared" si="154"/>
        <v>0.32999999999999996</v>
      </c>
      <c r="CV50" s="231">
        <f t="shared" si="155"/>
        <v>0.70607331928946815</v>
      </c>
      <c r="CW50" s="188">
        <f t="shared" si="156"/>
        <v>1.1883282242158422</v>
      </c>
      <c r="CX50" s="206">
        <f t="shared" si="157"/>
        <v>7.1883282242158426</v>
      </c>
      <c r="CY50" s="231">
        <f t="shared" si="158"/>
        <v>0.83468642678103722</v>
      </c>
      <c r="CZ50">
        <f t="shared" si="159"/>
        <v>53.368964346349749</v>
      </c>
      <c r="DA50">
        <f t="shared" si="160"/>
        <v>670.54021323437087</v>
      </c>
      <c r="DD50" s="22">
        <v>200000</v>
      </c>
      <c r="DE50" s="22">
        <f t="shared" si="94"/>
        <v>1256637.0614359172</v>
      </c>
      <c r="DF50" s="91">
        <f t="shared" si="95"/>
        <v>-14.025475285405893</v>
      </c>
      <c r="DG50" s="93">
        <f t="shared" si="96"/>
        <v>-75.436261926012094</v>
      </c>
      <c r="DH50" s="91">
        <f t="shared" si="97"/>
        <v>-37.594635068199068</v>
      </c>
      <c r="DI50" s="92">
        <f t="shared" si="98"/>
        <v>102.06666691091982</v>
      </c>
      <c r="DJ50" s="92">
        <f t="shared" si="99"/>
        <v>-38.614731451900639</v>
      </c>
      <c r="DK50" s="93">
        <f t="shared" si="100"/>
        <v>103.83821958921475</v>
      </c>
      <c r="DL50" s="91">
        <f t="shared" si="101"/>
        <v>-51.620110353604957</v>
      </c>
      <c r="DM50" s="92">
        <f t="shared" si="102"/>
        <v>26.630404984907727</v>
      </c>
      <c r="DN50" s="92">
        <f t="shared" si="103"/>
        <v>-52.640206737306528</v>
      </c>
      <c r="DO50" s="93">
        <f t="shared" si="104"/>
        <v>28.401957663202651</v>
      </c>
    </row>
    <row r="51" spans="1:119" x14ac:dyDescent="0.25">
      <c r="A51" s="12" t="s">
        <v>405</v>
      </c>
      <c r="B51" s="190">
        <f>IF(AND(Vout6&lt;&gt;0,Iout6&lt;&gt;0,Vout6_Ripple&lt;&gt;0),(Iout6*B7)/(Fsw*Vout6_Ripple*(10^-3)),0)</f>
        <v>0</v>
      </c>
      <c r="C51" s="12" t="s">
        <v>351</v>
      </c>
      <c r="K51" s="58">
        <v>47</v>
      </c>
      <c r="L51" s="131">
        <f t="shared" si="55"/>
        <v>45.660000000000004</v>
      </c>
      <c r="M51" s="130">
        <f t="shared" si="56"/>
        <v>0.14600671630895021</v>
      </c>
      <c r="N51" s="132">
        <f t="shared" si="0"/>
        <v>7.1974054862702502E-2</v>
      </c>
      <c r="O51" s="52">
        <f t="shared" si="57"/>
        <v>5.0893342262909542E-2</v>
      </c>
      <c r="P51" s="21">
        <f t="shared" si="58"/>
        <v>2.0286020648339487</v>
      </c>
      <c r="Q51" s="19">
        <f t="shared" si="59"/>
        <v>4.0572041296678973</v>
      </c>
      <c r="R51" s="6">
        <f t="shared" si="105"/>
        <v>2.378195530842274</v>
      </c>
      <c r="S51" s="55">
        <f t="shared" si="60"/>
        <v>0.62842610404508292</v>
      </c>
      <c r="T51" s="133">
        <f t="shared" si="61"/>
        <v>0.61122942258857205</v>
      </c>
      <c r="U51" s="54">
        <f t="shared" si="106"/>
        <v>0.23706792697452767</v>
      </c>
      <c r="V51" s="21">
        <f t="shared" si="107"/>
        <v>4.2182002971133556</v>
      </c>
      <c r="W51" s="21">
        <f t="shared" si="63"/>
        <v>1.185776861683703</v>
      </c>
      <c r="X51" s="63">
        <f t="shared" si="64"/>
        <v>1.0752054527877226</v>
      </c>
      <c r="Y51" s="54">
        <f t="shared" si="108"/>
        <v>0.23706792697452767</v>
      </c>
      <c r="Z51" s="21">
        <f t="shared" si="109"/>
        <v>4.2182002971133556</v>
      </c>
      <c r="AA51" s="21">
        <f t="shared" si="65"/>
        <v>1.185776861683703</v>
      </c>
      <c r="AB51" s="63">
        <f t="shared" si="66"/>
        <v>1.0752054527877226</v>
      </c>
      <c r="AC51" s="52">
        <f t="shared" si="110"/>
        <v>0</v>
      </c>
      <c r="AD51" s="21">
        <f t="shared" si="111"/>
        <v>0</v>
      </c>
      <c r="AE51" s="21">
        <f t="shared" si="67"/>
        <v>0</v>
      </c>
      <c r="AF51" s="63">
        <f t="shared" si="68"/>
        <v>0</v>
      </c>
      <c r="AG51" s="52">
        <f t="shared" si="112"/>
        <v>0</v>
      </c>
      <c r="AH51" s="21">
        <f t="shared" si="113"/>
        <v>0</v>
      </c>
      <c r="AI51" s="21">
        <f t="shared" si="69"/>
        <v>0</v>
      </c>
      <c r="AJ51" s="63">
        <f t="shared" si="70"/>
        <v>0</v>
      </c>
      <c r="AK51" s="52">
        <f t="shared" si="114"/>
        <v>0</v>
      </c>
      <c r="AL51" s="21">
        <f t="shared" si="115"/>
        <v>0</v>
      </c>
      <c r="AM51" s="21">
        <f t="shared" si="71"/>
        <v>0</v>
      </c>
      <c r="AN51" s="63">
        <f t="shared" si="72"/>
        <v>0</v>
      </c>
      <c r="AO51" s="52">
        <f t="shared" si="116"/>
        <v>0</v>
      </c>
      <c r="AP51" s="21">
        <f t="shared" si="117"/>
        <v>0</v>
      </c>
      <c r="AQ51" s="21">
        <f t="shared" si="74"/>
        <v>0</v>
      </c>
      <c r="AR51" s="181">
        <f t="shared" si="75"/>
        <v>0</v>
      </c>
      <c r="AS51" s="52">
        <f t="shared" si="118"/>
        <v>0.15133499330954489</v>
      </c>
      <c r="AT51" s="21">
        <f t="shared" si="119"/>
        <v>1.3215714067592701</v>
      </c>
      <c r="AU51" s="21">
        <f t="shared" si="120"/>
        <v>0.2968244606676107</v>
      </c>
      <c r="AV51" s="63">
        <f t="shared" si="121"/>
        <v>0.2794722892356557</v>
      </c>
      <c r="AW51" s="182">
        <f t="shared" si="76"/>
        <v>9.2209184765179461E-2</v>
      </c>
      <c r="AX51" s="52">
        <f t="shared" si="77"/>
        <v>0</v>
      </c>
      <c r="AY51" s="74">
        <f t="shared" si="78"/>
        <v>0</v>
      </c>
      <c r="AZ51" s="78">
        <f t="shared" si="79"/>
        <v>0</v>
      </c>
      <c r="BA51" s="87">
        <f t="shared" si="80"/>
        <v>0</v>
      </c>
      <c r="BB51" s="110">
        <f t="shared" si="81"/>
        <v>389.58111577303015</v>
      </c>
      <c r="BC51" s="69">
        <f t="shared" si="82"/>
        <v>0.29218583682977262</v>
      </c>
      <c r="BD51" s="42">
        <f t="shared" si="83"/>
        <v>375.77078305839683</v>
      </c>
      <c r="BE51" s="79">
        <f t="shared" si="84"/>
        <v>0.28182808729379766</v>
      </c>
      <c r="BF51" s="117">
        <f t="shared" si="122"/>
        <v>6.960452250760451E-4</v>
      </c>
      <c r="BG51" s="118">
        <f t="shared" si="123"/>
        <v>1.2198327641254177E-2</v>
      </c>
      <c r="BH51" s="117">
        <f t="shared" si="124"/>
        <v>6.1943381790359594E-4</v>
      </c>
      <c r="BI51" s="118">
        <f t="shared" si="125"/>
        <v>2.6865194238630905E-2</v>
      </c>
      <c r="BJ51" s="117">
        <f t="shared" si="126"/>
        <v>6.1943381790359594E-4</v>
      </c>
      <c r="BK51" s="118">
        <f t="shared" si="127"/>
        <v>2.6865194238630905E-2</v>
      </c>
      <c r="BL51" s="91">
        <f t="shared" si="128"/>
        <v>0</v>
      </c>
      <c r="BM51" s="93">
        <f t="shared" si="129"/>
        <v>0</v>
      </c>
      <c r="BN51" s="91">
        <f t="shared" si="130"/>
        <v>0</v>
      </c>
      <c r="BO51" s="93">
        <f t="shared" si="131"/>
        <v>0</v>
      </c>
      <c r="BP51" s="91">
        <f t="shared" si="132"/>
        <v>0</v>
      </c>
      <c r="BQ51" s="93">
        <f t="shared" si="133"/>
        <v>0</v>
      </c>
      <c r="BR51" s="91">
        <f t="shared" si="134"/>
        <v>0</v>
      </c>
      <c r="BS51" s="93">
        <f t="shared" si="135"/>
        <v>0</v>
      </c>
      <c r="BT51" s="188">
        <f t="shared" si="136"/>
        <v>4.7302218821729144E-5</v>
      </c>
      <c r="BU51" s="93">
        <f t="shared" si="137"/>
        <v>3.4650633806579114E-3</v>
      </c>
      <c r="BV51" s="117">
        <f t="shared" si="85"/>
        <v>7.137599457887886E-2</v>
      </c>
      <c r="BW51" s="206">
        <f t="shared" si="86"/>
        <v>7.137599457887886E-2</v>
      </c>
      <c r="BX51" s="206">
        <f t="shared" si="87"/>
        <v>7.137599457887886E-2</v>
      </c>
      <c r="BY51" s="97">
        <f t="shared" si="88"/>
        <v>0.3635618314086515</v>
      </c>
      <c r="BZ51" s="123">
        <f t="shared" si="89"/>
        <v>0.35320408187267649</v>
      </c>
      <c r="CA51" s="91">
        <f t="shared" si="90"/>
        <v>1.4922572845125588E-3</v>
      </c>
      <c r="CB51" s="92">
        <f t="shared" si="138"/>
        <v>2.5000000000000001E-3</v>
      </c>
      <c r="CC51" s="92">
        <f t="shared" si="139"/>
        <v>2.5000000000000001E-3</v>
      </c>
      <c r="CD51" s="92">
        <f t="shared" si="140"/>
        <v>0</v>
      </c>
      <c r="CE51" s="92">
        <f t="shared" si="141"/>
        <v>0</v>
      </c>
      <c r="CF51" s="92">
        <f t="shared" si="142"/>
        <v>0</v>
      </c>
      <c r="CG51" s="92">
        <f t="shared" si="143"/>
        <v>0</v>
      </c>
      <c r="CH51" s="92">
        <f t="shared" si="144"/>
        <v>1.0000000000000002E-4</v>
      </c>
      <c r="CI51" s="127">
        <f t="shared" si="91"/>
        <v>6.5922572845125591E-3</v>
      </c>
      <c r="CJ51" s="91">
        <f t="shared" si="92"/>
        <v>1.0658980603661134E-4</v>
      </c>
      <c r="CK51" s="92">
        <f t="shared" si="145"/>
        <v>3.0000000000000002E-2</v>
      </c>
      <c r="CL51" s="92">
        <f t="shared" si="146"/>
        <v>0.11549999999999999</v>
      </c>
      <c r="CM51" s="127">
        <f t="shared" si="93"/>
        <v>0.14560658980603661</v>
      </c>
      <c r="CN51" s="91">
        <f t="shared" si="147"/>
        <v>0.15</v>
      </c>
      <c r="CO51" s="92">
        <f t="shared" si="148"/>
        <v>0.15</v>
      </c>
      <c r="CP51" s="92">
        <f t="shared" si="149"/>
        <v>0</v>
      </c>
      <c r="CQ51" s="92">
        <f t="shared" si="150"/>
        <v>0</v>
      </c>
      <c r="CR51" s="92">
        <f t="shared" si="151"/>
        <v>0</v>
      </c>
      <c r="CS51" s="92">
        <f t="shared" si="152"/>
        <v>0</v>
      </c>
      <c r="CT51" s="92">
        <f t="shared" si="153"/>
        <v>0.03</v>
      </c>
      <c r="CU51" s="127">
        <f t="shared" si="154"/>
        <v>0.32999999999999996</v>
      </c>
      <c r="CV51" s="231">
        <f t="shared" si="155"/>
        <v>0.70472333099358919</v>
      </c>
      <c r="CW51" s="188">
        <f t="shared" si="156"/>
        <v>1.1869221780841384</v>
      </c>
      <c r="CX51" s="206">
        <f t="shared" si="157"/>
        <v>7.1869221780841386</v>
      </c>
      <c r="CY51" s="231">
        <f t="shared" si="158"/>
        <v>0.83484972444761552</v>
      </c>
      <c r="CZ51">
        <f t="shared" si="159"/>
        <v>54.14896434634975</v>
      </c>
      <c r="DA51">
        <f t="shared" si="160"/>
        <v>671.32021323437084</v>
      </c>
      <c r="DD51" s="22">
        <v>300000</v>
      </c>
      <c r="DE51" s="22">
        <f t="shared" si="94"/>
        <v>1884955.5921538759</v>
      </c>
      <c r="DF51" s="91">
        <f t="shared" si="95"/>
        <v>-17.236030181169454</v>
      </c>
      <c r="DG51" s="93">
        <f t="shared" si="96"/>
        <v>-69.040041918346972</v>
      </c>
      <c r="DH51" s="91">
        <f t="shared" si="97"/>
        <v>-41.006362117887278</v>
      </c>
      <c r="DI51" s="92">
        <f t="shared" si="98"/>
        <v>98.114113816305533</v>
      </c>
      <c r="DJ51" s="92">
        <f t="shared" si="99"/>
        <v>-41.992450817083871</v>
      </c>
      <c r="DK51" s="93">
        <f t="shared" si="100"/>
        <v>99.330124889530722</v>
      </c>
      <c r="DL51" s="91">
        <f t="shared" si="101"/>
        <v>-58.242392299056732</v>
      </c>
      <c r="DM51" s="92">
        <f t="shared" si="102"/>
        <v>29.074071897958561</v>
      </c>
      <c r="DN51" s="92">
        <f t="shared" si="103"/>
        <v>-59.228480998253325</v>
      </c>
      <c r="DO51" s="93">
        <f t="shared" si="104"/>
        <v>30.29008297118375</v>
      </c>
    </row>
    <row r="52" spans="1:119" x14ac:dyDescent="0.25">
      <c r="A52" s="12" t="s">
        <v>406</v>
      </c>
      <c r="B52" s="190">
        <f>COUT6_FlyB_DCM</f>
        <v>0</v>
      </c>
      <c r="C52" s="12" t="s">
        <v>351</v>
      </c>
      <c r="K52" s="58">
        <v>48</v>
      </c>
      <c r="L52" s="131">
        <f t="shared" si="55"/>
        <v>46.44</v>
      </c>
      <c r="M52" s="130">
        <f t="shared" si="56"/>
        <v>0.14355440712029857</v>
      </c>
      <c r="N52" s="132">
        <f t="shared" si="0"/>
        <v>7.0765188308161003E-2</v>
      </c>
      <c r="O52" s="52">
        <f t="shared" si="57"/>
        <v>5.0038544524643631E-2</v>
      </c>
      <c r="P52" s="21">
        <f t="shared" si="58"/>
        <v>2.0286020648339482</v>
      </c>
      <c r="Q52" s="19">
        <f t="shared" si="59"/>
        <v>4.0572041296678973</v>
      </c>
      <c r="R52" s="6">
        <f t="shared" si="105"/>
        <v>2.372895702603576</v>
      </c>
      <c r="S52" s="55">
        <f t="shared" si="60"/>
        <v>0.6231262758063848</v>
      </c>
      <c r="T52" s="133">
        <f t="shared" si="61"/>
        <v>0.60636497903216202</v>
      </c>
      <c r="U52" s="54">
        <f t="shared" si="106"/>
        <v>0.23706792697452767</v>
      </c>
      <c r="V52" s="21">
        <f t="shared" si="107"/>
        <v>4.2182002971133556</v>
      </c>
      <c r="W52" s="21">
        <f t="shared" si="63"/>
        <v>1.185776861683703</v>
      </c>
      <c r="X52" s="63">
        <f t="shared" si="64"/>
        <v>1.0752054527877226</v>
      </c>
      <c r="Y52" s="54">
        <f t="shared" si="108"/>
        <v>0.23706792697452767</v>
      </c>
      <c r="Z52" s="21">
        <f t="shared" si="109"/>
        <v>4.2182002971133556</v>
      </c>
      <c r="AA52" s="21">
        <f t="shared" si="65"/>
        <v>1.185776861683703</v>
      </c>
      <c r="AB52" s="63">
        <f t="shared" si="66"/>
        <v>1.0752054527877226</v>
      </c>
      <c r="AC52" s="52">
        <f t="shared" si="110"/>
        <v>0</v>
      </c>
      <c r="AD52" s="21">
        <f t="shared" si="111"/>
        <v>0</v>
      </c>
      <c r="AE52" s="21">
        <f t="shared" si="67"/>
        <v>0</v>
      </c>
      <c r="AF52" s="63">
        <f t="shared" si="68"/>
        <v>0</v>
      </c>
      <c r="AG52" s="52">
        <f t="shared" si="112"/>
        <v>0</v>
      </c>
      <c r="AH52" s="21">
        <f t="shared" si="113"/>
        <v>0</v>
      </c>
      <c r="AI52" s="21">
        <f t="shared" si="69"/>
        <v>0</v>
      </c>
      <c r="AJ52" s="63">
        <f t="shared" si="70"/>
        <v>0</v>
      </c>
      <c r="AK52" s="52">
        <f t="shared" si="114"/>
        <v>0</v>
      </c>
      <c r="AL52" s="21">
        <f t="shared" si="115"/>
        <v>0</v>
      </c>
      <c r="AM52" s="21">
        <f t="shared" si="71"/>
        <v>0</v>
      </c>
      <c r="AN52" s="63">
        <f t="shared" si="72"/>
        <v>0</v>
      </c>
      <c r="AO52" s="52">
        <f t="shared" si="116"/>
        <v>0</v>
      </c>
      <c r="AP52" s="21">
        <f t="shared" si="117"/>
        <v>0</v>
      </c>
      <c r="AQ52" s="21">
        <f t="shared" si="74"/>
        <v>0</v>
      </c>
      <c r="AR52" s="181">
        <f t="shared" si="75"/>
        <v>0</v>
      </c>
      <c r="AS52" s="52">
        <f t="shared" si="118"/>
        <v>0.15133499330954489</v>
      </c>
      <c r="AT52" s="21">
        <f t="shared" si="119"/>
        <v>1.3215714067592701</v>
      </c>
      <c r="AU52" s="21">
        <f t="shared" si="120"/>
        <v>0.2968244606676107</v>
      </c>
      <c r="AV52" s="63">
        <f t="shared" si="121"/>
        <v>0.2794722892356557</v>
      </c>
      <c r="AW52" s="182">
        <f t="shared" si="76"/>
        <v>9.2209184765179461E-2</v>
      </c>
      <c r="AX52" s="52">
        <f t="shared" si="77"/>
        <v>0</v>
      </c>
      <c r="AY52" s="74">
        <f t="shared" si="78"/>
        <v>0</v>
      </c>
      <c r="AZ52" s="78">
        <f t="shared" si="79"/>
        <v>0</v>
      </c>
      <c r="BA52" s="87">
        <f t="shared" si="80"/>
        <v>0</v>
      </c>
      <c r="BB52" s="110">
        <f t="shared" si="81"/>
        <v>389.58111577303015</v>
      </c>
      <c r="BC52" s="69">
        <f t="shared" si="82"/>
        <v>0.29218583682977262</v>
      </c>
      <c r="BD52" s="42">
        <f t="shared" si="83"/>
        <v>375.77078305839683</v>
      </c>
      <c r="BE52" s="79">
        <f t="shared" si="84"/>
        <v>0.28182808729379766</v>
      </c>
      <c r="BF52" s="117">
        <f t="shared" si="122"/>
        <v>6.7286021605149295E-4</v>
      </c>
      <c r="BG52" s="118">
        <f t="shared" si="123"/>
        <v>1.2004940496193073E-2</v>
      </c>
      <c r="BH52" s="117">
        <f t="shared" si="124"/>
        <v>6.1943381790359594E-4</v>
      </c>
      <c r="BI52" s="118">
        <f t="shared" si="125"/>
        <v>2.6865194238630905E-2</v>
      </c>
      <c r="BJ52" s="117">
        <f t="shared" si="126"/>
        <v>6.1943381790359594E-4</v>
      </c>
      <c r="BK52" s="118">
        <f t="shared" si="127"/>
        <v>2.6865194238630905E-2</v>
      </c>
      <c r="BL52" s="91">
        <f t="shared" si="128"/>
        <v>0</v>
      </c>
      <c r="BM52" s="93">
        <f t="shared" si="129"/>
        <v>0</v>
      </c>
      <c r="BN52" s="91">
        <f t="shared" si="130"/>
        <v>0</v>
      </c>
      <c r="BO52" s="93">
        <f t="shared" si="131"/>
        <v>0</v>
      </c>
      <c r="BP52" s="91">
        <f t="shared" si="132"/>
        <v>0</v>
      </c>
      <c r="BQ52" s="93">
        <f t="shared" si="133"/>
        <v>0</v>
      </c>
      <c r="BR52" s="91">
        <f t="shared" si="134"/>
        <v>0</v>
      </c>
      <c r="BS52" s="93">
        <f t="shared" si="135"/>
        <v>0</v>
      </c>
      <c r="BT52" s="188">
        <f t="shared" si="136"/>
        <v>4.7302218821729144E-5</v>
      </c>
      <c r="BU52" s="93">
        <f t="shared" si="137"/>
        <v>3.4650633806579114E-3</v>
      </c>
      <c r="BV52" s="117">
        <f t="shared" si="85"/>
        <v>7.1159422424793201E-2</v>
      </c>
      <c r="BW52" s="206">
        <f t="shared" si="86"/>
        <v>7.1159422424793201E-2</v>
      </c>
      <c r="BX52" s="206">
        <f t="shared" si="87"/>
        <v>7.1159422424793201E-2</v>
      </c>
      <c r="BY52" s="97">
        <f t="shared" si="88"/>
        <v>0.36334525925456584</v>
      </c>
      <c r="BZ52" s="123">
        <f t="shared" si="89"/>
        <v>0.35298750971859083</v>
      </c>
      <c r="CA52" s="91">
        <f t="shared" si="90"/>
        <v>1.4425507462562301E-3</v>
      </c>
      <c r="CB52" s="92">
        <f t="shared" si="138"/>
        <v>2.5000000000000001E-3</v>
      </c>
      <c r="CC52" s="92">
        <f t="shared" si="139"/>
        <v>2.5000000000000001E-3</v>
      </c>
      <c r="CD52" s="92">
        <f t="shared" si="140"/>
        <v>0</v>
      </c>
      <c r="CE52" s="92">
        <f t="shared" si="141"/>
        <v>0</v>
      </c>
      <c r="CF52" s="92">
        <f t="shared" si="142"/>
        <v>0</v>
      </c>
      <c r="CG52" s="92">
        <f t="shared" si="143"/>
        <v>0</v>
      </c>
      <c r="CH52" s="92">
        <f t="shared" si="144"/>
        <v>1.0000000000000002E-4</v>
      </c>
      <c r="CI52" s="127">
        <f t="shared" si="91"/>
        <v>6.5425507462562307E-3</v>
      </c>
      <c r="CJ52" s="91">
        <f t="shared" si="92"/>
        <v>1.0303933901830215E-4</v>
      </c>
      <c r="CK52" s="92">
        <f t="shared" si="145"/>
        <v>2.9999999999999995E-2</v>
      </c>
      <c r="CL52" s="92">
        <f t="shared" si="146"/>
        <v>0.11549999999999999</v>
      </c>
      <c r="CM52" s="127">
        <f t="shared" si="93"/>
        <v>0.1456030393390183</v>
      </c>
      <c r="CN52" s="91">
        <f t="shared" si="147"/>
        <v>0.15</v>
      </c>
      <c r="CO52" s="92">
        <f t="shared" si="148"/>
        <v>0.15</v>
      </c>
      <c r="CP52" s="92">
        <f t="shared" si="149"/>
        <v>0</v>
      </c>
      <c r="CQ52" s="92">
        <f t="shared" si="150"/>
        <v>0</v>
      </c>
      <c r="CR52" s="92">
        <f t="shared" si="151"/>
        <v>0</v>
      </c>
      <c r="CS52" s="92">
        <f t="shared" si="152"/>
        <v>0</v>
      </c>
      <c r="CT52" s="92">
        <f t="shared" si="153"/>
        <v>0.03</v>
      </c>
      <c r="CU52" s="127">
        <f t="shared" si="154"/>
        <v>0.32999999999999996</v>
      </c>
      <c r="CV52" s="231">
        <f t="shared" si="155"/>
        <v>0.70333940205480405</v>
      </c>
      <c r="CW52" s="188">
        <f t="shared" si="156"/>
        <v>1.1854849921400785</v>
      </c>
      <c r="CX52" s="206">
        <f t="shared" si="157"/>
        <v>7.1854849921400783</v>
      </c>
      <c r="CY52" s="231">
        <f t="shared" si="158"/>
        <v>0.83501670472670475</v>
      </c>
      <c r="CZ52">
        <f t="shared" si="159"/>
        <v>54.928964346349744</v>
      </c>
      <c r="DA52">
        <f t="shared" si="160"/>
        <v>672.10021323437081</v>
      </c>
      <c r="DD52" s="22">
        <v>400000</v>
      </c>
      <c r="DE52" s="22">
        <f t="shared" si="94"/>
        <v>2513274.1228718343</v>
      </c>
      <c r="DF52" s="91">
        <f t="shared" si="95"/>
        <v>-19.333538973784268</v>
      </c>
      <c r="DG52" s="93">
        <f t="shared" si="96"/>
        <v>-63.085418437622742</v>
      </c>
      <c r="DH52" s="91">
        <f t="shared" si="97"/>
        <v>-43.465933170799289</v>
      </c>
      <c r="DI52" s="92">
        <f t="shared" si="98"/>
        <v>96.104255763596015</v>
      </c>
      <c r="DJ52" s="92">
        <f t="shared" si="99"/>
        <v>-44.439636772078053</v>
      </c>
      <c r="DK52" s="93">
        <f t="shared" si="100"/>
        <v>97.025818549390308</v>
      </c>
      <c r="DL52" s="91">
        <f t="shared" si="101"/>
        <v>-62.799472144583561</v>
      </c>
      <c r="DM52" s="92">
        <f t="shared" si="102"/>
        <v>33.018837325973273</v>
      </c>
      <c r="DN52" s="92">
        <f t="shared" si="103"/>
        <v>-63.773175745862318</v>
      </c>
      <c r="DO52" s="93">
        <f t="shared" si="104"/>
        <v>33.940400111767566</v>
      </c>
    </row>
    <row r="53" spans="1:119" x14ac:dyDescent="0.25">
      <c r="A53" s="12" t="s">
        <v>410</v>
      </c>
      <c r="B53" s="190">
        <f>IF(AND(VOUTAUX&lt;&gt;0,IoutAux&lt;&gt;0,VoutAUX_Ripple&lt;&gt;0),(IoutAux*B7)/(Fsw*VoutAUX_Ripple*(10^-3)),0)</f>
        <v>2.4343224778007382E-6</v>
      </c>
      <c r="C53" s="12" t="s">
        <v>351</v>
      </c>
      <c r="K53" s="58">
        <v>49</v>
      </c>
      <c r="L53" s="131">
        <f t="shared" si="55"/>
        <v>47.22</v>
      </c>
      <c r="M53" s="130">
        <f t="shared" si="56"/>
        <v>0.14118311449950588</v>
      </c>
      <c r="N53" s="132">
        <f t="shared" si="0"/>
        <v>6.9596258895192636E-2</v>
      </c>
      <c r="O53" s="52">
        <f t="shared" si="57"/>
        <v>4.9211986610005289E-2</v>
      </c>
      <c r="P53" s="21">
        <f t="shared" si="58"/>
        <v>2.0286020648339491</v>
      </c>
      <c r="Q53" s="19">
        <f t="shared" si="59"/>
        <v>4.0572041296678965</v>
      </c>
      <c r="R53" s="6">
        <f t="shared" si="105"/>
        <v>2.3677277399471803</v>
      </c>
      <c r="S53" s="55">
        <f t="shared" si="60"/>
        <v>0.61795831314998928</v>
      </c>
      <c r="T53" s="133">
        <f t="shared" si="61"/>
        <v>0.60161433241853501</v>
      </c>
      <c r="U53" s="54">
        <f t="shared" si="106"/>
        <v>0.23706792697452767</v>
      </c>
      <c r="V53" s="21">
        <f t="shared" si="107"/>
        <v>4.2182002971133556</v>
      </c>
      <c r="W53" s="21">
        <f t="shared" si="63"/>
        <v>1.185776861683703</v>
      </c>
      <c r="X53" s="63">
        <f t="shared" si="64"/>
        <v>1.0752054527877226</v>
      </c>
      <c r="Y53" s="54">
        <f t="shared" si="108"/>
        <v>0.23706792697452767</v>
      </c>
      <c r="Z53" s="21">
        <f t="shared" si="109"/>
        <v>4.2182002971133556</v>
      </c>
      <c r="AA53" s="21">
        <f t="shared" si="65"/>
        <v>1.185776861683703</v>
      </c>
      <c r="AB53" s="63">
        <f t="shared" si="66"/>
        <v>1.0752054527877226</v>
      </c>
      <c r="AC53" s="52">
        <f t="shared" si="110"/>
        <v>0</v>
      </c>
      <c r="AD53" s="21">
        <f t="shared" si="111"/>
        <v>0</v>
      </c>
      <c r="AE53" s="21">
        <f t="shared" si="67"/>
        <v>0</v>
      </c>
      <c r="AF53" s="63">
        <f t="shared" si="68"/>
        <v>0</v>
      </c>
      <c r="AG53" s="52">
        <f t="shared" si="112"/>
        <v>0</v>
      </c>
      <c r="AH53" s="21">
        <f t="shared" si="113"/>
        <v>0</v>
      </c>
      <c r="AI53" s="21">
        <f t="shared" si="69"/>
        <v>0</v>
      </c>
      <c r="AJ53" s="63">
        <f t="shared" si="70"/>
        <v>0</v>
      </c>
      <c r="AK53" s="52">
        <f t="shared" si="114"/>
        <v>0</v>
      </c>
      <c r="AL53" s="21">
        <f t="shared" si="115"/>
        <v>0</v>
      </c>
      <c r="AM53" s="21">
        <f t="shared" si="71"/>
        <v>0</v>
      </c>
      <c r="AN53" s="63">
        <f t="shared" si="72"/>
        <v>0</v>
      </c>
      <c r="AO53" s="52">
        <f t="shared" si="116"/>
        <v>0</v>
      </c>
      <c r="AP53" s="21">
        <f t="shared" si="117"/>
        <v>0</v>
      </c>
      <c r="AQ53" s="21">
        <f t="shared" si="74"/>
        <v>0</v>
      </c>
      <c r="AR53" s="181">
        <f t="shared" si="75"/>
        <v>0</v>
      </c>
      <c r="AS53" s="52">
        <f t="shared" si="118"/>
        <v>0.15133499330954489</v>
      </c>
      <c r="AT53" s="21">
        <f t="shared" si="119"/>
        <v>1.3215714067592701</v>
      </c>
      <c r="AU53" s="21">
        <f t="shared" si="120"/>
        <v>0.2968244606676107</v>
      </c>
      <c r="AV53" s="63">
        <f t="shared" si="121"/>
        <v>0.2794722892356557</v>
      </c>
      <c r="AW53" s="182">
        <f t="shared" si="76"/>
        <v>9.2209184765179447E-2</v>
      </c>
      <c r="AX53" s="52">
        <f t="shared" si="77"/>
        <v>0</v>
      </c>
      <c r="AY53" s="74">
        <f t="shared" si="78"/>
        <v>0</v>
      </c>
      <c r="AZ53" s="78">
        <f t="shared" si="79"/>
        <v>0</v>
      </c>
      <c r="BA53" s="87">
        <f t="shared" si="80"/>
        <v>0</v>
      </c>
      <c r="BB53" s="110">
        <f t="shared" si="81"/>
        <v>389.58111577303015</v>
      </c>
      <c r="BC53" s="69">
        <f t="shared" si="82"/>
        <v>0.29218583682977262</v>
      </c>
      <c r="BD53" s="42">
        <f t="shared" si="83"/>
        <v>375.77078305839683</v>
      </c>
      <c r="BE53" s="79">
        <f t="shared" si="84"/>
        <v>0.28182808729379766</v>
      </c>
      <c r="BF53" s="117">
        <f t="shared" si="122"/>
        <v>6.5081463035971201E-4</v>
      </c>
      <c r="BG53" s="118">
        <f t="shared" si="123"/>
        <v>1.181756878930647E-2</v>
      </c>
      <c r="BH53" s="117">
        <f t="shared" si="124"/>
        <v>6.1943381790359594E-4</v>
      </c>
      <c r="BI53" s="118">
        <f t="shared" si="125"/>
        <v>2.6865194238630905E-2</v>
      </c>
      <c r="BJ53" s="117">
        <f t="shared" si="126"/>
        <v>6.1943381790359594E-4</v>
      </c>
      <c r="BK53" s="118">
        <f t="shared" si="127"/>
        <v>2.6865194238630905E-2</v>
      </c>
      <c r="BL53" s="91">
        <f t="shared" si="128"/>
        <v>0</v>
      </c>
      <c r="BM53" s="93">
        <f t="shared" si="129"/>
        <v>0</v>
      </c>
      <c r="BN53" s="91">
        <f t="shared" si="130"/>
        <v>0</v>
      </c>
      <c r="BO53" s="93">
        <f t="shared" si="131"/>
        <v>0</v>
      </c>
      <c r="BP53" s="91">
        <f t="shared" si="132"/>
        <v>0</v>
      </c>
      <c r="BQ53" s="93">
        <f t="shared" si="133"/>
        <v>0</v>
      </c>
      <c r="BR53" s="91">
        <f t="shared" si="134"/>
        <v>0</v>
      </c>
      <c r="BS53" s="93">
        <f t="shared" si="135"/>
        <v>0</v>
      </c>
      <c r="BT53" s="188">
        <f t="shared" si="136"/>
        <v>4.7302218821729144E-5</v>
      </c>
      <c r="BU53" s="93">
        <f t="shared" si="137"/>
        <v>3.4650633806579114E-3</v>
      </c>
      <c r="BV53" s="117">
        <f t="shared" si="85"/>
        <v>7.0950005132214819E-2</v>
      </c>
      <c r="BW53" s="206">
        <f t="shared" si="86"/>
        <v>7.0950005132214819E-2</v>
      </c>
      <c r="BX53" s="206">
        <f t="shared" si="87"/>
        <v>7.0950005132214819E-2</v>
      </c>
      <c r="BY53" s="97">
        <f t="shared" si="88"/>
        <v>0.36313584196198745</v>
      </c>
      <c r="BZ53" s="123">
        <f t="shared" si="89"/>
        <v>0.35277809242601249</v>
      </c>
      <c r="CA53" s="91">
        <f t="shared" si="90"/>
        <v>1.3952870273846413E-3</v>
      </c>
      <c r="CB53" s="92">
        <f t="shared" si="138"/>
        <v>2.5000000000000001E-3</v>
      </c>
      <c r="CC53" s="92">
        <f t="shared" si="139"/>
        <v>2.5000000000000001E-3</v>
      </c>
      <c r="CD53" s="92">
        <f t="shared" si="140"/>
        <v>0</v>
      </c>
      <c r="CE53" s="92">
        <f t="shared" si="141"/>
        <v>0</v>
      </c>
      <c r="CF53" s="92">
        <f t="shared" si="142"/>
        <v>0</v>
      </c>
      <c r="CG53" s="92">
        <f t="shared" si="143"/>
        <v>0</v>
      </c>
      <c r="CH53" s="92">
        <f t="shared" si="144"/>
        <v>1.0000000000000002E-4</v>
      </c>
      <c r="CI53" s="127">
        <f t="shared" si="91"/>
        <v>6.4952870273846412E-3</v>
      </c>
      <c r="CJ53" s="91">
        <f t="shared" si="92"/>
        <v>9.9663359098902928E-5</v>
      </c>
      <c r="CK53" s="92">
        <f t="shared" si="145"/>
        <v>3.0000000000000009E-2</v>
      </c>
      <c r="CL53" s="92">
        <f t="shared" si="146"/>
        <v>0.11549999999999999</v>
      </c>
      <c r="CM53" s="127">
        <f t="shared" si="93"/>
        <v>0.14559966335909891</v>
      </c>
      <c r="CN53" s="91">
        <f t="shared" si="147"/>
        <v>0.15</v>
      </c>
      <c r="CO53" s="92">
        <f t="shared" si="148"/>
        <v>0.15</v>
      </c>
      <c r="CP53" s="92">
        <f t="shared" si="149"/>
        <v>0</v>
      </c>
      <c r="CQ53" s="92">
        <f t="shared" si="150"/>
        <v>0</v>
      </c>
      <c r="CR53" s="92">
        <f t="shared" si="151"/>
        <v>0</v>
      </c>
      <c r="CS53" s="92">
        <f t="shared" si="152"/>
        <v>0</v>
      </c>
      <c r="CT53" s="92">
        <f t="shared" si="153"/>
        <v>0.03</v>
      </c>
      <c r="CU53" s="127">
        <f t="shared" si="154"/>
        <v>0.32999999999999996</v>
      </c>
      <c r="CV53" s="231">
        <f t="shared" si="155"/>
        <v>0.70192023620337407</v>
      </c>
      <c r="CW53" s="188">
        <f t="shared" si="156"/>
        <v>1.1840151865898576</v>
      </c>
      <c r="CX53" s="206">
        <f t="shared" si="157"/>
        <v>7.1840151865898578</v>
      </c>
      <c r="CY53" s="231">
        <f t="shared" si="158"/>
        <v>0.83518754403526085</v>
      </c>
      <c r="CZ53">
        <f t="shared" si="159"/>
        <v>55.708964346349745</v>
      </c>
      <c r="DA53">
        <f t="shared" si="160"/>
        <v>672.88021323437079</v>
      </c>
      <c r="DD53" s="22">
        <v>500000</v>
      </c>
      <c r="DE53" s="22">
        <f t="shared" si="94"/>
        <v>3141592.653589793</v>
      </c>
      <c r="DF53" s="91">
        <f t="shared" si="95"/>
        <v>-20.804982956060208</v>
      </c>
      <c r="DG53" s="93">
        <f t="shared" si="96"/>
        <v>-57.675714850056963</v>
      </c>
      <c r="DH53" s="91">
        <f t="shared" si="97"/>
        <v>-45.385867163578801</v>
      </c>
      <c r="DI53" s="92">
        <f t="shared" si="98"/>
        <v>94.890373176201621</v>
      </c>
      <c r="DJ53" s="92">
        <f t="shared" si="99"/>
        <v>-46.353749663219816</v>
      </c>
      <c r="DK53" s="93">
        <f t="shared" si="100"/>
        <v>95.631216129704711</v>
      </c>
      <c r="DL53" s="91">
        <f t="shared" si="101"/>
        <v>-66.190850119639009</v>
      </c>
      <c r="DM53" s="92">
        <f t="shared" si="102"/>
        <v>37.214658326144658</v>
      </c>
      <c r="DN53" s="92">
        <f t="shared" si="103"/>
        <v>-67.158732619280016</v>
      </c>
      <c r="DO53" s="93">
        <f t="shared" si="104"/>
        <v>37.955501279647748</v>
      </c>
    </row>
    <row r="54" spans="1:119" ht="15.75" thickBot="1" x14ac:dyDescent="0.3">
      <c r="A54" s="12" t="s">
        <v>411</v>
      </c>
      <c r="B54" s="190">
        <f>COUTAUX_FlyB_DCM</f>
        <v>3.9999999999999998E-6</v>
      </c>
      <c r="C54" s="12" t="s">
        <v>351</v>
      </c>
      <c r="K54" s="58">
        <v>50</v>
      </c>
      <c r="L54" s="131">
        <f t="shared" si="55"/>
        <v>48</v>
      </c>
      <c r="M54" s="130">
        <f t="shared" si="56"/>
        <v>0.1388888888888889</v>
      </c>
      <c r="N54" s="132">
        <f t="shared" si="0"/>
        <v>6.8465319688145759E-2</v>
      </c>
      <c r="O54" s="52">
        <f t="shared" si="57"/>
        <v>4.8412291827592713E-2</v>
      </c>
      <c r="P54" s="21">
        <f t="shared" si="58"/>
        <v>2.0286020648339487</v>
      </c>
      <c r="Q54" s="19">
        <f t="shared" si="59"/>
        <v>4.0572041296678973</v>
      </c>
      <c r="R54" s="6">
        <f t="shared" si="105"/>
        <v>2.3626862637688344</v>
      </c>
      <c r="S54" s="55">
        <f t="shared" si="60"/>
        <v>0.61291683697164323</v>
      </c>
      <c r="T54" s="133">
        <f t="shared" si="61"/>
        <v>0.59697313640274785</v>
      </c>
      <c r="U54" s="54">
        <f t="shared" si="106"/>
        <v>0.23706792697452767</v>
      </c>
      <c r="V54" s="21">
        <f t="shared" si="107"/>
        <v>4.2182002971133556</v>
      </c>
      <c r="W54" s="21">
        <f t="shared" si="63"/>
        <v>1.185776861683703</v>
      </c>
      <c r="X54" s="63">
        <f t="shared" si="64"/>
        <v>1.0752054527877226</v>
      </c>
      <c r="Y54" s="54">
        <f t="shared" si="108"/>
        <v>0.23706792697452767</v>
      </c>
      <c r="Z54" s="21">
        <f t="shared" si="109"/>
        <v>4.2182002971133556</v>
      </c>
      <c r="AA54" s="21">
        <f t="shared" si="65"/>
        <v>1.185776861683703</v>
      </c>
      <c r="AB54" s="63">
        <f t="shared" si="66"/>
        <v>1.0752054527877226</v>
      </c>
      <c r="AC54" s="52">
        <f t="shared" si="110"/>
        <v>0</v>
      </c>
      <c r="AD54" s="21">
        <f t="shared" si="111"/>
        <v>0</v>
      </c>
      <c r="AE54" s="21">
        <f t="shared" si="67"/>
        <v>0</v>
      </c>
      <c r="AF54" s="63">
        <f t="shared" si="68"/>
        <v>0</v>
      </c>
      <c r="AG54" s="52">
        <f t="shared" si="112"/>
        <v>0</v>
      </c>
      <c r="AH54" s="21">
        <f t="shared" si="113"/>
        <v>0</v>
      </c>
      <c r="AI54" s="21">
        <f t="shared" si="69"/>
        <v>0</v>
      </c>
      <c r="AJ54" s="63">
        <f t="shared" si="70"/>
        <v>0</v>
      </c>
      <c r="AK54" s="52">
        <f t="shared" si="114"/>
        <v>0</v>
      </c>
      <c r="AL54" s="21">
        <f t="shared" si="115"/>
        <v>0</v>
      </c>
      <c r="AM54" s="21">
        <f t="shared" si="71"/>
        <v>0</v>
      </c>
      <c r="AN54" s="63">
        <f t="shared" si="72"/>
        <v>0</v>
      </c>
      <c r="AO54" s="52">
        <f t="shared" si="116"/>
        <v>0</v>
      </c>
      <c r="AP54" s="21">
        <f t="shared" si="117"/>
        <v>0</v>
      </c>
      <c r="AQ54" s="21">
        <f t="shared" si="74"/>
        <v>0</v>
      </c>
      <c r="AR54" s="181">
        <f t="shared" si="75"/>
        <v>0</v>
      </c>
      <c r="AS54" s="53">
        <f t="shared" si="118"/>
        <v>0.15133499330954489</v>
      </c>
      <c r="AT54" s="37">
        <f t="shared" si="119"/>
        <v>1.3215714067592701</v>
      </c>
      <c r="AU54" s="37">
        <f t="shared" si="120"/>
        <v>0.2968244606676107</v>
      </c>
      <c r="AV54" s="65">
        <f t="shared" si="121"/>
        <v>0.2794722892356557</v>
      </c>
      <c r="AW54" s="182">
        <f t="shared" si="76"/>
        <v>9.2209184765179461E-2</v>
      </c>
      <c r="AX54" s="52">
        <f t="shared" si="77"/>
        <v>0</v>
      </c>
      <c r="AY54" s="74">
        <f t="shared" si="78"/>
        <v>0</v>
      </c>
      <c r="AZ54" s="78">
        <f t="shared" si="79"/>
        <v>0</v>
      </c>
      <c r="BA54" s="87">
        <f t="shared" si="80"/>
        <v>0</v>
      </c>
      <c r="BB54" s="110">
        <f t="shared" si="81"/>
        <v>389.58111577303015</v>
      </c>
      <c r="BC54" s="69">
        <f t="shared" si="82"/>
        <v>0.29218583682977262</v>
      </c>
      <c r="BD54" s="42">
        <f t="shared" si="83"/>
        <v>375.77078305839683</v>
      </c>
      <c r="BE54" s="79">
        <f t="shared" si="84"/>
        <v>0.28182808729379766</v>
      </c>
      <c r="BF54" s="119">
        <f t="shared" si="122"/>
        <v>6.2983501061135059E-4</v>
      </c>
      <c r="BG54" s="121">
        <f t="shared" si="123"/>
        <v>1.1635937178485271E-2</v>
      </c>
      <c r="BH54" s="119">
        <f t="shared" si="124"/>
        <v>6.1943381790359594E-4</v>
      </c>
      <c r="BI54" s="121">
        <f t="shared" si="125"/>
        <v>2.6865194238630905E-2</v>
      </c>
      <c r="BJ54" s="119">
        <f t="shared" si="126"/>
        <v>6.1943381790359594E-4</v>
      </c>
      <c r="BK54" s="121">
        <f t="shared" si="127"/>
        <v>2.6865194238630905E-2</v>
      </c>
      <c r="BL54" s="104">
        <f t="shared" si="128"/>
        <v>0</v>
      </c>
      <c r="BM54" s="108">
        <f t="shared" si="129"/>
        <v>0</v>
      </c>
      <c r="BN54" s="104">
        <f t="shared" si="130"/>
        <v>0</v>
      </c>
      <c r="BO54" s="108">
        <f t="shared" si="131"/>
        <v>0</v>
      </c>
      <c r="BP54" s="104">
        <f t="shared" si="132"/>
        <v>0</v>
      </c>
      <c r="BQ54" s="108">
        <f t="shared" si="133"/>
        <v>0</v>
      </c>
      <c r="BR54" s="104">
        <f t="shared" si="134"/>
        <v>0</v>
      </c>
      <c r="BS54" s="108">
        <f t="shared" si="135"/>
        <v>0</v>
      </c>
      <c r="BT54" s="189">
        <f t="shared" si="136"/>
        <v>4.7302218821729144E-5</v>
      </c>
      <c r="BU54" s="108">
        <f t="shared" si="137"/>
        <v>3.4650633806579114E-3</v>
      </c>
      <c r="BV54" s="119">
        <f t="shared" si="85"/>
        <v>7.0747393901645264E-2</v>
      </c>
      <c r="BW54" s="226">
        <f t="shared" si="86"/>
        <v>7.0747393901645264E-2</v>
      </c>
      <c r="BX54" s="226">
        <f t="shared" si="87"/>
        <v>7.0747393901645264E-2</v>
      </c>
      <c r="BY54" s="125">
        <f t="shared" si="88"/>
        <v>0.36293323073141787</v>
      </c>
      <c r="BZ54" s="126">
        <f t="shared" si="89"/>
        <v>0.35257548119544291</v>
      </c>
      <c r="CA54" s="104">
        <f t="shared" si="90"/>
        <v>1.350308641975309E-3</v>
      </c>
      <c r="CB54" s="106">
        <f t="shared" si="138"/>
        <v>2.5000000000000001E-3</v>
      </c>
      <c r="CC54" s="106">
        <f t="shared" si="139"/>
        <v>2.5000000000000001E-3</v>
      </c>
      <c r="CD54" s="106">
        <f t="shared" si="140"/>
        <v>0</v>
      </c>
      <c r="CE54" s="106">
        <f t="shared" si="141"/>
        <v>0</v>
      </c>
      <c r="CF54" s="106">
        <f t="shared" si="142"/>
        <v>0</v>
      </c>
      <c r="CG54" s="106">
        <f t="shared" si="143"/>
        <v>0</v>
      </c>
      <c r="CH54" s="106">
        <f t="shared" si="144"/>
        <v>1.0000000000000002E-4</v>
      </c>
      <c r="CI54" s="128">
        <f t="shared" si="91"/>
        <v>6.4503086419753089E-3</v>
      </c>
      <c r="CJ54" s="104">
        <f t="shared" si="92"/>
        <v>9.6450617283950625E-5</v>
      </c>
      <c r="CK54" s="106">
        <f t="shared" si="145"/>
        <v>3.0000000000000002E-2</v>
      </c>
      <c r="CL54" s="106">
        <f t="shared" si="146"/>
        <v>0.11549999999999999</v>
      </c>
      <c r="CM54" s="128">
        <f t="shared" si="93"/>
        <v>0.14559645061728393</v>
      </c>
      <c r="CN54" s="104">
        <f t="shared" si="147"/>
        <v>0.15</v>
      </c>
      <c r="CO54" s="106">
        <f t="shared" si="148"/>
        <v>0.15</v>
      </c>
      <c r="CP54" s="106">
        <f t="shared" si="149"/>
        <v>0</v>
      </c>
      <c r="CQ54" s="106">
        <f t="shared" si="150"/>
        <v>0</v>
      </c>
      <c r="CR54" s="106">
        <f t="shared" si="151"/>
        <v>0</v>
      </c>
      <c r="CS54" s="106">
        <f t="shared" si="152"/>
        <v>0</v>
      </c>
      <c r="CT54" s="106">
        <f t="shared" si="153"/>
        <v>0.03</v>
      </c>
      <c r="CU54" s="128">
        <f t="shared" si="154"/>
        <v>0.32999999999999996</v>
      </c>
      <c r="CV54" s="232">
        <f t="shared" si="155"/>
        <v>0.70046447030841341</v>
      </c>
      <c r="CW54" s="189">
        <f t="shared" si="156"/>
        <v>1.1825112295676727</v>
      </c>
      <c r="CX54" s="226">
        <f t="shared" si="157"/>
        <v>7.1825112295676732</v>
      </c>
      <c r="CY54" s="232">
        <f t="shared" si="158"/>
        <v>0.83536242523370885</v>
      </c>
      <c r="CZ54">
        <f t="shared" si="159"/>
        <v>56.488964346349746</v>
      </c>
      <c r="DA54">
        <f t="shared" si="160"/>
        <v>673.66021323437087</v>
      </c>
      <c r="DD54" s="22">
        <v>600000</v>
      </c>
      <c r="DE54" s="22">
        <f t="shared" si="94"/>
        <v>3769911.1843077517</v>
      </c>
      <c r="DF54" s="91">
        <f t="shared" si="95"/>
        <v>-21.878849183884427</v>
      </c>
      <c r="DG54" s="93">
        <f t="shared" si="96"/>
        <v>-52.832374007810564</v>
      </c>
      <c r="DH54" s="91">
        <f t="shared" si="97"/>
        <v>-46.959537356309625</v>
      </c>
      <c r="DI54" s="92">
        <f t="shared" si="98"/>
        <v>94.078477808034805</v>
      </c>
      <c r="DJ54" s="92">
        <f t="shared" si="99"/>
        <v>-47.924233854452474</v>
      </c>
      <c r="DK54" s="93">
        <f t="shared" si="100"/>
        <v>94.697485615244602</v>
      </c>
      <c r="DL54" s="91">
        <f t="shared" si="101"/>
        <v>-68.838386540194051</v>
      </c>
      <c r="DM54" s="92">
        <f t="shared" si="102"/>
        <v>41.24610380022424</v>
      </c>
      <c r="DN54" s="92">
        <f t="shared" si="103"/>
        <v>-69.803083038336894</v>
      </c>
      <c r="DO54" s="93">
        <f t="shared" si="104"/>
        <v>41.865111607434038</v>
      </c>
    </row>
    <row r="55" spans="1:119" x14ac:dyDescent="0.25">
      <c r="A55" s="311" t="s">
        <v>432</v>
      </c>
      <c r="B55" s="311"/>
      <c r="C55" s="311"/>
      <c r="DD55" s="22">
        <v>700000</v>
      </c>
      <c r="DE55" s="22">
        <f t="shared" si="94"/>
        <v>4398229.7150257099</v>
      </c>
      <c r="DF55" s="91">
        <f t="shared" si="95"/>
        <v>-22.683602077604213</v>
      </c>
      <c r="DG55" s="93">
        <f t="shared" si="96"/>
        <v>-48.533387500074021</v>
      </c>
      <c r="DH55" s="91">
        <f t="shared" si="97"/>
        <v>-48.292459710789686</v>
      </c>
      <c r="DI55" s="92">
        <f t="shared" si="98"/>
        <v>93.497478450099067</v>
      </c>
      <c r="DJ55" s="92">
        <f t="shared" si="99"/>
        <v>-49.25522693662991</v>
      </c>
      <c r="DK55" s="93">
        <f t="shared" si="100"/>
        <v>94.028907122169215</v>
      </c>
      <c r="DL55" s="91">
        <f t="shared" si="101"/>
        <v>-70.976061788393906</v>
      </c>
      <c r="DM55" s="92">
        <f t="shared" si="102"/>
        <v>44.964090950025046</v>
      </c>
      <c r="DN55" s="92">
        <f t="shared" si="103"/>
        <v>-71.93882901423413</v>
      </c>
      <c r="DO55" s="93">
        <f t="shared" si="104"/>
        <v>45.495519622095195</v>
      </c>
    </row>
    <row r="56" spans="1:119" x14ac:dyDescent="0.25">
      <c r="A56" s="204" t="s">
        <v>441</v>
      </c>
      <c r="B56" s="12">
        <f>IF(AND(Vout1&lt;&gt;0,Iout1&lt;&gt;0,Ns1_Flyback&lt;&gt;0),ABS(Vout1)+((Ns1_Flyback/Np)*VinMax),0)</f>
        <v>33.271999999999998</v>
      </c>
      <c r="C56" s="204" t="s">
        <v>5</v>
      </c>
      <c r="DD56" s="22">
        <v>800000</v>
      </c>
      <c r="DE56" s="22">
        <f t="shared" si="94"/>
        <v>5026548.2457436686</v>
      </c>
      <c r="DF56" s="91">
        <f t="shared" si="95"/>
        <v>-23.299066549122731</v>
      </c>
      <c r="DG56" s="93">
        <f t="shared" si="96"/>
        <v>-44.734306686617479</v>
      </c>
      <c r="DH56" s="91">
        <f t="shared" si="97"/>
        <v>-49.448391235013027</v>
      </c>
      <c r="DI56" s="92">
        <f t="shared" si="98"/>
        <v>93.061226479150591</v>
      </c>
      <c r="DJ56" s="92">
        <f t="shared" si="99"/>
        <v>-50.409902964315947</v>
      </c>
      <c r="DK56" s="93">
        <f t="shared" si="100"/>
        <v>93.526710889447841</v>
      </c>
      <c r="DL56" s="91">
        <f t="shared" si="101"/>
        <v>-72.747457784135761</v>
      </c>
      <c r="DM56" s="92">
        <f t="shared" si="102"/>
        <v>48.326919792533111</v>
      </c>
      <c r="DN56" s="92">
        <f t="shared" si="103"/>
        <v>-73.708969513438674</v>
      </c>
      <c r="DO56" s="93">
        <f t="shared" si="104"/>
        <v>48.792404202830362</v>
      </c>
    </row>
    <row r="57" spans="1:119" x14ac:dyDescent="0.25">
      <c r="A57" s="204" t="s">
        <v>442</v>
      </c>
      <c r="B57" s="12">
        <f>IF(AND(Vout2&lt;&gt;0,Iout2&lt;&gt;0,Ns2_Flyback&lt;&gt;0),ABS(Vout2)+((Ns2_Flyback/Np)*VinMax),0)</f>
        <v>33.271999999999998</v>
      </c>
      <c r="C57" s="204" t="s">
        <v>5</v>
      </c>
      <c r="DD57" s="22">
        <v>900000</v>
      </c>
      <c r="DE57" s="22">
        <f t="shared" si="94"/>
        <v>5654866.7764616273</v>
      </c>
      <c r="DF57" s="91">
        <f t="shared" si="95"/>
        <v>-23.777837549527497</v>
      </c>
      <c r="DG57" s="93">
        <f t="shared" si="96"/>
        <v>-41.381604132725208</v>
      </c>
      <c r="DH57" s="91">
        <f t="shared" si="97"/>
        <v>-50.468760739113634</v>
      </c>
      <c r="DI57" s="92">
        <f t="shared" si="98"/>
        <v>92.721659209434549</v>
      </c>
      <c r="DJ57" s="92">
        <f t="shared" si="99"/>
        <v>-51.429410186811843</v>
      </c>
      <c r="DK57" s="93">
        <f t="shared" si="100"/>
        <v>93.135718806973642</v>
      </c>
      <c r="DL57" s="91">
        <f t="shared" si="101"/>
        <v>-74.246598288641138</v>
      </c>
      <c r="DM57" s="92">
        <f t="shared" si="102"/>
        <v>51.340055076709341</v>
      </c>
      <c r="DN57" s="92">
        <f t="shared" si="103"/>
        <v>-75.20724773633934</v>
      </c>
      <c r="DO57" s="93">
        <f t="shared" si="104"/>
        <v>51.754114674248434</v>
      </c>
    </row>
    <row r="58" spans="1:119" x14ac:dyDescent="0.25">
      <c r="A58" s="204" t="s">
        <v>443</v>
      </c>
      <c r="B58" s="12">
        <f>IF(AND(Vout3&lt;&gt;0,Iout3&lt;&gt;0,Ns3_Flyback&lt;&gt;0),ABS(Vout3)+((Ns3_Flyback/Np)*VinMax),0)</f>
        <v>0</v>
      </c>
      <c r="C58" s="204" t="s">
        <v>5</v>
      </c>
      <c r="DD58" s="22">
        <v>1000000</v>
      </c>
      <c r="DE58" s="22">
        <f t="shared" si="94"/>
        <v>6283185.307179586</v>
      </c>
      <c r="DF58" s="91">
        <f t="shared" si="95"/>
        <v>-24.155876363056173</v>
      </c>
      <c r="DG58" s="93">
        <f t="shared" si="96"/>
        <v>-38.420698265683242</v>
      </c>
      <c r="DH58" s="91">
        <f t="shared" si="97"/>
        <v>-51.381991869987182</v>
      </c>
      <c r="DI58" s="92">
        <f t="shared" si="98"/>
        <v>92.449859827244381</v>
      </c>
      <c r="DJ58" s="92">
        <f t="shared" si="99"/>
        <v>-52.342023773786089</v>
      </c>
      <c r="DK58" s="93">
        <f t="shared" si="100"/>
        <v>92.822704046594467</v>
      </c>
      <c r="DL58" s="91">
        <f t="shared" si="101"/>
        <v>-75.537868233043355</v>
      </c>
      <c r="DM58" s="92">
        <f t="shared" si="102"/>
        <v>54.029161561561139</v>
      </c>
      <c r="DN58" s="92">
        <f t="shared" si="103"/>
        <v>-76.497900136842262</v>
      </c>
      <c r="DO58" s="93">
        <f t="shared" si="104"/>
        <v>54.402005780911225</v>
      </c>
    </row>
    <row r="59" spans="1:119" ht="15.75" thickBot="1" x14ac:dyDescent="0.3">
      <c r="A59" s="204" t="s">
        <v>444</v>
      </c>
      <c r="B59" s="12">
        <f>IF(AND(Vout4&lt;&gt;0,Iout4&lt;&gt;0,Ns4_Flyback&lt;&gt;0),ABS(Vout4)+((Ns4_Flyback/Np)*VinMax),0)</f>
        <v>0</v>
      </c>
      <c r="C59" s="204" t="s">
        <v>5</v>
      </c>
      <c r="DD59" s="22">
        <v>2000000</v>
      </c>
      <c r="DE59" s="22">
        <f t="shared" si="94"/>
        <v>12566370.614359172</v>
      </c>
      <c r="DF59" s="104">
        <f t="shared" si="95"/>
        <v>-25.648150087214407</v>
      </c>
      <c r="DG59" s="108">
        <f t="shared" si="96"/>
        <v>-21.651389448525364</v>
      </c>
      <c r="DH59" s="104">
        <f t="shared" si="97"/>
        <v>-57.39645135845457</v>
      </c>
      <c r="DI59" s="106">
        <f t="shared" si="98"/>
        <v>91.225516546307688</v>
      </c>
      <c r="DJ59" s="106">
        <f t="shared" si="99"/>
        <v>-58.354504487199023</v>
      </c>
      <c r="DK59" s="108">
        <f t="shared" si="100"/>
        <v>91.412243995136976</v>
      </c>
      <c r="DL59" s="104">
        <f t="shared" si="101"/>
        <v>-83.044601445668974</v>
      </c>
      <c r="DM59" s="106">
        <f t="shared" si="102"/>
        <v>69.574127097782323</v>
      </c>
      <c r="DN59" s="106">
        <f t="shared" si="103"/>
        <v>-84.002654574413427</v>
      </c>
      <c r="DO59" s="108">
        <f t="shared" si="104"/>
        <v>69.760854546611611</v>
      </c>
    </row>
    <row r="60" spans="1:119" x14ac:dyDescent="0.25">
      <c r="A60" s="204" t="s">
        <v>445</v>
      </c>
      <c r="B60" s="12">
        <f>IF(AND(Vout5&lt;&gt;0,Iout5&lt;&gt;0,Ns5_Flyback&lt;&gt;0),ABS(Vout5)+((Ns5_Flyback/Np)*VinMax),0)</f>
        <v>0</v>
      </c>
      <c r="C60" s="204" t="s">
        <v>5</v>
      </c>
    </row>
    <row r="61" spans="1:119" x14ac:dyDescent="0.25">
      <c r="A61" s="204" t="s">
        <v>446</v>
      </c>
      <c r="B61" s="12">
        <f>IF(AND(Vout6&lt;&gt;0,Iout6&lt;&gt;0,Ns6_Flyback&lt;&gt;0),ABS(Vout6)+((Ns6_Flyback/Np)*VinMax),0)</f>
        <v>0</v>
      </c>
      <c r="C61" s="204" t="s">
        <v>5</v>
      </c>
    </row>
    <row r="62" spans="1:119" x14ac:dyDescent="0.25">
      <c r="A62" s="204" t="s">
        <v>447</v>
      </c>
      <c r="B62" s="12">
        <f>IF(AND(VOUTAUX&lt;&gt;0,IoutAux&lt;&gt;0,NsAux_Flyback&lt;&gt;0),ABS(VOUTAUX)+((NsAux_Flyback/Np)*VinMax),0)</f>
        <v>67.072000000000003</v>
      </c>
      <c r="C62" s="204" t="s">
        <v>5</v>
      </c>
    </row>
    <row r="63" spans="1:119" x14ac:dyDescent="0.25">
      <c r="A63" s="11" t="s">
        <v>448</v>
      </c>
    </row>
    <row r="64" spans="1:119" x14ac:dyDescent="0.25">
      <c r="A64" s="323" t="s">
        <v>478</v>
      </c>
      <c r="B64" s="324"/>
      <c r="C64" s="324"/>
    </row>
    <row r="65" spans="1:3" x14ac:dyDescent="0.25">
      <c r="A65" s="214" t="s">
        <v>479</v>
      </c>
      <c r="B65" s="12">
        <f>'Flyback DCM'!B76</f>
        <v>91</v>
      </c>
      <c r="C65" s="12" t="s">
        <v>5</v>
      </c>
    </row>
    <row r="66" spans="1:3" x14ac:dyDescent="0.25">
      <c r="A66" s="214" t="s">
        <v>482</v>
      </c>
      <c r="B66" s="6">
        <f>2*(Vclamp_Flyback_DCM-VinMin)*((Vclamp_Flyback_DCM-VinMin)-(ABS(Vout1)*(Np/Ns1_Flyback)))/(LL_Flyback_DCM*(ILpeak_Max_FlyB_DCM^2)*Fsw)</f>
        <v>9214.9824818644829</v>
      </c>
      <c r="C66" s="215" t="s">
        <v>254</v>
      </c>
    </row>
    <row r="67" spans="1:3" x14ac:dyDescent="0.25">
      <c r="A67" s="214" t="s">
        <v>481</v>
      </c>
      <c r="B67" s="12">
        <f>'Flyback DCM'!B79*1000</f>
        <v>4720</v>
      </c>
      <c r="C67" s="215" t="s">
        <v>254</v>
      </c>
    </row>
    <row r="68" spans="1:3" x14ac:dyDescent="0.25">
      <c r="A68" s="205" t="s">
        <v>484</v>
      </c>
      <c r="B68">
        <f>'Flyback DCM'!B77/1000</f>
        <v>0.05</v>
      </c>
      <c r="C68" s="216" t="s">
        <v>5</v>
      </c>
    </row>
    <row r="69" spans="1:3" x14ac:dyDescent="0.25">
      <c r="A69" s="214" t="s">
        <v>480</v>
      </c>
      <c r="B69" s="12">
        <f>(Vclamp_Flyback_DCM-VinMin)/(B68*Fsw*B67)</f>
        <v>1.2853107344632768E-6</v>
      </c>
      <c r="C69" s="215" t="s">
        <v>351</v>
      </c>
    </row>
    <row r="70" spans="1:3" x14ac:dyDescent="0.25">
      <c r="A70" s="214" t="s">
        <v>486</v>
      </c>
      <c r="B70" s="176">
        <f>'Flyback DCM'!B81*(10^-6)</f>
        <v>3.0000000000000001E-6</v>
      </c>
      <c r="C70" s="215" t="s">
        <v>351</v>
      </c>
    </row>
    <row r="71" spans="1:3" x14ac:dyDescent="0.25">
      <c r="A71" s="205" t="s">
        <v>485</v>
      </c>
      <c r="B71" s="217">
        <f>(Vclamp_Flyback_DCM-VinMin)/(B67*Fsw*B70)</f>
        <v>2.1421845574387949E-2</v>
      </c>
      <c r="C71" s="216" t="s">
        <v>5</v>
      </c>
    </row>
    <row r="72" spans="1:3" x14ac:dyDescent="0.25">
      <c r="A72" s="319" t="s">
        <v>624</v>
      </c>
      <c r="B72" s="319"/>
      <c r="C72" s="319"/>
    </row>
    <row r="73" spans="1:3" x14ac:dyDescent="0.25">
      <c r="A73" s="214" t="s">
        <v>527</v>
      </c>
      <c r="B73" s="12">
        <f>IF('Flyback DCM'!B40="LM5020",9,IF('Flyback DCM'!B40="LM5021",10,IF('Flyback DCM'!B40="LM5022",11,IF('Flyback DCM'!B40="LM5001",12,9))))</f>
        <v>9</v>
      </c>
      <c r="C73" s="12"/>
    </row>
    <row r="74" spans="1:3" x14ac:dyDescent="0.25">
      <c r="A74" s="214" t="s">
        <v>527</v>
      </c>
      <c r="B74" s="255" t="str">
        <f>VLOOKUP(B73,Parts!A4:BG15,2,FALSE)</f>
        <v>LM5020</v>
      </c>
      <c r="C74" s="12"/>
    </row>
    <row r="75" spans="1:3" x14ac:dyDescent="0.25">
      <c r="A75" s="214" t="s">
        <v>0</v>
      </c>
      <c r="B75" s="12">
        <f>VLOOKUP(B73,Parts!A4:BG15,4,FALSE)</f>
        <v>10</v>
      </c>
      <c r="C75" s="12"/>
    </row>
    <row r="76" spans="1:3" x14ac:dyDescent="0.25">
      <c r="A76" s="214" t="s">
        <v>2</v>
      </c>
      <c r="B76" s="12">
        <f>VLOOKUP(B73,Parts!A4:BG15,5,FALSE)</f>
        <v>100</v>
      </c>
      <c r="C76" s="12"/>
    </row>
    <row r="77" spans="1:3" x14ac:dyDescent="0.25">
      <c r="A77" s="214" t="s">
        <v>550</v>
      </c>
      <c r="B77" s="12">
        <f>VLOOKUP(B73,Parts!A4:BG15,12,FALSE)</f>
        <v>0</v>
      </c>
      <c r="C77" s="12"/>
    </row>
    <row r="78" spans="1:3" x14ac:dyDescent="0.25">
      <c r="A78" s="214" t="s">
        <v>551</v>
      </c>
      <c r="B78" s="12">
        <f>VLOOKUP(B73,Parts!A4:BG15,8,FALSE)</f>
        <v>1.25</v>
      </c>
      <c r="C78" s="12"/>
    </row>
    <row r="79" spans="1:3" x14ac:dyDescent="0.25">
      <c r="A79" s="214" t="s">
        <v>552</v>
      </c>
      <c r="B79" s="12">
        <f>VLOOKUP(B73,Parts!A4:BG15,18,FALSE)</f>
        <v>7.7</v>
      </c>
      <c r="C79" s="12"/>
    </row>
    <row r="80" spans="1:3" x14ac:dyDescent="0.25">
      <c r="A80" s="214" t="s">
        <v>658</v>
      </c>
      <c r="B80" s="12">
        <f>VLOOKUP(B73,Parts!A4:BG15,44,FALSE)</f>
        <v>0.105</v>
      </c>
      <c r="C80" s="12" t="s">
        <v>5</v>
      </c>
    </row>
    <row r="81" spans="1:3" x14ac:dyDescent="0.25">
      <c r="A81" s="214" t="s">
        <v>775</v>
      </c>
      <c r="B81" s="12">
        <f>VLOOKUP(B73,Parts!A4:BG15,25,FALSE)</f>
        <v>8.3000000000000004E-2</v>
      </c>
      <c r="C81" s="12"/>
    </row>
    <row r="82" spans="1:3" x14ac:dyDescent="0.25">
      <c r="A82" s="214" t="s">
        <v>665</v>
      </c>
      <c r="B82" s="12">
        <f>VLOOKUP(B73,Parts!A4:BG15,58,FALSE)</f>
        <v>1</v>
      </c>
      <c r="C82" s="12"/>
    </row>
    <row r="83" spans="1:3" x14ac:dyDescent="0.25">
      <c r="A83" s="214" t="s">
        <v>776</v>
      </c>
      <c r="B83" s="12">
        <f>B81*B82</f>
        <v>8.3000000000000004E-2</v>
      </c>
      <c r="C83" s="12"/>
    </row>
    <row r="84" spans="1:3" x14ac:dyDescent="0.25">
      <c r="A84" s="214" t="s">
        <v>676</v>
      </c>
      <c r="B84">
        <f>IF(B74&lt;&gt;12,3,1)</f>
        <v>3</v>
      </c>
      <c r="C84" s="12"/>
    </row>
    <row r="85" spans="1:3" x14ac:dyDescent="0.25">
      <c r="A85" s="214" t="s">
        <v>553</v>
      </c>
      <c r="B85" s="12" t="str">
        <f>VLOOKUP(B73,Parts!A4:BG15,20,FALSE)</f>
        <v>-</v>
      </c>
      <c r="C85" s="12"/>
    </row>
    <row r="86" spans="1:3" x14ac:dyDescent="0.25">
      <c r="A86" s="214" t="s">
        <v>593</v>
      </c>
      <c r="B86" s="12" t="str">
        <f>VLOOKUP(B73,Parts!A4:BG15,21,FALSE)</f>
        <v>-</v>
      </c>
      <c r="C86" s="12"/>
    </row>
    <row r="87" spans="1:3" x14ac:dyDescent="0.25">
      <c r="A87" s="214" t="s">
        <v>554</v>
      </c>
      <c r="B87" s="12">
        <f>VLOOKUP(B73,Parts!A4:BG15,22,FALSE)</f>
        <v>5.0000000000000001E-3</v>
      </c>
      <c r="C87" s="12"/>
    </row>
    <row r="88" spans="1:3" x14ac:dyDescent="0.25">
      <c r="A88" s="214" t="s">
        <v>592</v>
      </c>
      <c r="B88" s="12">
        <f>VLOOKUP(B73,Parts!A4:BG15,23,FALSE)</f>
        <v>4.9999999999999998E-8</v>
      </c>
      <c r="C88" s="12"/>
    </row>
    <row r="89" spans="1:3" x14ac:dyDescent="0.25">
      <c r="A89" s="214" t="s">
        <v>732</v>
      </c>
      <c r="B89" s="12">
        <f>VLOOKUP(B73,Parts!A4:BG15,26,FALSE)</f>
        <v>0.5</v>
      </c>
      <c r="C89" s="12" t="s">
        <v>5</v>
      </c>
    </row>
    <row r="90" spans="1:3" x14ac:dyDescent="0.25">
      <c r="A90" s="214" t="s">
        <v>575</v>
      </c>
      <c r="B90" s="12" t="str">
        <f>VLOOKUP(B73,Parts!A4:BG15,27,FALSE)</f>
        <v>-</v>
      </c>
      <c r="C90" s="12"/>
    </row>
    <row r="91" spans="1:3" x14ac:dyDescent="0.25">
      <c r="A91" s="214" t="s">
        <v>737</v>
      </c>
      <c r="B91" s="12">
        <f>VLOOKUP(B73,Parts!A4:BH15,60,FALSE)</f>
        <v>5</v>
      </c>
      <c r="C91" s="12" t="s">
        <v>5</v>
      </c>
    </row>
    <row r="92" spans="1:3" x14ac:dyDescent="0.25">
      <c r="A92" s="214" t="s">
        <v>774</v>
      </c>
      <c r="B92" s="12">
        <f>VLOOKUP(B73,Parts!A4:BH15,38,FALSE)</f>
        <v>5000</v>
      </c>
      <c r="C92" s="215" t="s">
        <v>254</v>
      </c>
    </row>
    <row r="93" spans="1:3" x14ac:dyDescent="0.25">
      <c r="A93" s="214" t="s">
        <v>937</v>
      </c>
      <c r="B93" s="12">
        <f>VLOOKUP(B73,Parts!A3:BK14,62,FALSE)</f>
        <v>26</v>
      </c>
      <c r="C93" s="215" t="s">
        <v>933</v>
      </c>
    </row>
    <row r="94" spans="1:3" x14ac:dyDescent="0.25">
      <c r="A94" s="214" t="s">
        <v>936</v>
      </c>
      <c r="B94" s="12">
        <f>VLOOKUP(B73,Parts!A3:BK14,63,FALSE)</f>
        <v>5.37</v>
      </c>
      <c r="C94" s="215" t="s">
        <v>932</v>
      </c>
    </row>
    <row r="95" spans="1:3" x14ac:dyDescent="0.25">
      <c r="A95" s="214" t="s">
        <v>938</v>
      </c>
      <c r="B95" s="12">
        <f>VLOOKUP(B73,Parts!A3:BK14,57,FALSE)</f>
        <v>23</v>
      </c>
      <c r="C95" s="215" t="s">
        <v>933</v>
      </c>
    </row>
    <row r="96" spans="1:3" x14ac:dyDescent="0.25">
      <c r="A96" s="214" t="s">
        <v>939</v>
      </c>
      <c r="B96" s="12">
        <f>VLOOKUP(B73,Parts!A3:BK14,61,FALSE)</f>
        <v>5.15</v>
      </c>
      <c r="C96" s="215" t="s">
        <v>932</v>
      </c>
    </row>
    <row r="97" spans="1:5" x14ac:dyDescent="0.25">
      <c r="A97" s="214" t="s">
        <v>591</v>
      </c>
      <c r="B97" s="12"/>
      <c r="C97" s="12"/>
    </row>
    <row r="98" spans="1:5" x14ac:dyDescent="0.25">
      <c r="A98" s="214" t="s">
        <v>591</v>
      </c>
      <c r="B98" s="12"/>
      <c r="C98" s="12"/>
    </row>
    <row r="99" spans="1:5" x14ac:dyDescent="0.25">
      <c r="A99" s="214" t="s">
        <v>583</v>
      </c>
      <c r="B99" s="12">
        <f>'Flyback DCM'!B28/1000</f>
        <v>7.0000000000000007E-2</v>
      </c>
      <c r="C99" s="12"/>
    </row>
    <row r="100" spans="1:5" x14ac:dyDescent="0.25">
      <c r="A100" s="214" t="s">
        <v>584</v>
      </c>
      <c r="B100" s="12">
        <f>'Flyback DCM'!F17/1000</f>
        <v>0.01</v>
      </c>
      <c r="C100" s="12"/>
    </row>
    <row r="101" spans="1:5" x14ac:dyDescent="0.25">
      <c r="A101" s="214" t="s">
        <v>585</v>
      </c>
      <c r="B101" s="12">
        <f>'Flyback DCM'!F18/1000</f>
        <v>0.01</v>
      </c>
      <c r="C101" s="12"/>
    </row>
    <row r="102" spans="1:5" x14ac:dyDescent="0.25">
      <c r="A102" s="214" t="s">
        <v>586</v>
      </c>
      <c r="B102" s="12">
        <f>'Flyback DCM'!F19/1000</f>
        <v>0</v>
      </c>
      <c r="C102" s="12"/>
    </row>
    <row r="103" spans="1:5" x14ac:dyDescent="0.25">
      <c r="A103" s="214" t="s">
        <v>587</v>
      </c>
      <c r="B103" s="12">
        <f>'Flyback DCM'!F20/1000</f>
        <v>0</v>
      </c>
      <c r="C103" s="12"/>
    </row>
    <row r="104" spans="1:5" x14ac:dyDescent="0.25">
      <c r="A104" s="214" t="s">
        <v>588</v>
      </c>
      <c r="B104" s="12">
        <f>'Flyback DCM'!F21/1000</f>
        <v>0</v>
      </c>
      <c r="C104" s="12"/>
    </row>
    <row r="105" spans="1:5" x14ac:dyDescent="0.25">
      <c r="A105" s="214" t="s">
        <v>589</v>
      </c>
      <c r="B105" s="12">
        <f>'Flyback DCM'!F22/1000</f>
        <v>0</v>
      </c>
      <c r="C105" s="12"/>
    </row>
    <row r="106" spans="1:5" x14ac:dyDescent="0.25">
      <c r="A106" s="214" t="s">
        <v>627</v>
      </c>
      <c r="B106" s="12">
        <f>'Flyback DCM'!F23/1000</f>
        <v>0.01</v>
      </c>
      <c r="C106" s="12"/>
    </row>
    <row r="107" spans="1:5" x14ac:dyDescent="0.25">
      <c r="A107" s="319" t="s">
        <v>780</v>
      </c>
      <c r="B107" s="319"/>
      <c r="C107" s="319"/>
    </row>
    <row r="108" spans="1:5" x14ac:dyDescent="0.25">
      <c r="A108" s="214" t="s">
        <v>777</v>
      </c>
      <c r="B108" s="12">
        <f>ABS(Vout1)/Iout1</f>
        <v>10</v>
      </c>
      <c r="C108" s="215" t="s">
        <v>254</v>
      </c>
    </row>
    <row r="109" spans="1:5" x14ac:dyDescent="0.25">
      <c r="A109" s="214" t="s">
        <v>778</v>
      </c>
      <c r="B109" s="12">
        <f>1/B83</f>
        <v>12.048192771084336</v>
      </c>
      <c r="C109" s="12" t="s">
        <v>517</v>
      </c>
    </row>
    <row r="110" spans="1:5" x14ac:dyDescent="0.25">
      <c r="A110" s="214" t="s">
        <v>779</v>
      </c>
      <c r="B110" s="12">
        <f>B109*SQRT(B108*Lm_Flyback_DCM*Fsw/2)</f>
        <v>24.246520237949525</v>
      </c>
      <c r="C110" s="12" t="s">
        <v>517</v>
      </c>
    </row>
    <row r="111" spans="1:5" x14ac:dyDescent="0.25">
      <c r="A111" s="214" t="s">
        <v>781</v>
      </c>
      <c r="B111" s="12">
        <f>2/(B108*'Flyback DCM'!B138*(10^-6))</f>
        <v>10000</v>
      </c>
      <c r="C111" s="12" t="s">
        <v>782</v>
      </c>
    </row>
    <row r="112" spans="1:5" x14ac:dyDescent="0.25">
      <c r="A112" s="214" t="s">
        <v>669</v>
      </c>
      <c r="B112" s="12">
        <f>1/('Flyback DCM'!B138*(10^-6)*'Flyback DCM'!B139/1000)</f>
        <v>5000000</v>
      </c>
      <c r="C112" s="12" t="s">
        <v>782</v>
      </c>
      <c r="D112">
        <f>B112/(2*PI())</f>
        <v>795774.71545947669</v>
      </c>
      <c r="E112" t="s">
        <v>694</v>
      </c>
    </row>
    <row r="113" spans="1:3" x14ac:dyDescent="0.25">
      <c r="A113" s="214" t="s">
        <v>695</v>
      </c>
      <c r="B113" s="12">
        <f>IMABS(IMDIV(COMPLEX(1,(2*PI()*'Flyback DCM'!B183*1000)/$B$112),COMPLEX(1,(2*PI()*'Flyback DCM'!B183*1000)/$B$111)))*$B$110</f>
        <v>20.530345417823103</v>
      </c>
      <c r="C113" s="12" t="s">
        <v>517</v>
      </c>
    </row>
    <row r="114" spans="1:3" x14ac:dyDescent="0.25">
      <c r="A114" s="326" t="s">
        <v>783</v>
      </c>
      <c r="B114" s="326"/>
      <c r="C114" s="326"/>
    </row>
    <row r="115" spans="1:3" x14ac:dyDescent="0.25">
      <c r="A115" s="214" t="s">
        <v>784</v>
      </c>
      <c r="B115" s="12">
        <f>'Flyback DCM'!B209*1000*2*PI()</f>
        <v>313971.74254317116</v>
      </c>
      <c r="C115" s="12" t="s">
        <v>782</v>
      </c>
    </row>
    <row r="116" spans="1:3" x14ac:dyDescent="0.25">
      <c r="A116" s="214" t="s">
        <v>785</v>
      </c>
      <c r="B116" s="12">
        <f>'Flyback DCM'!B212*1000*2*PI()</f>
        <v>4166.666666666667</v>
      </c>
      <c r="C116" s="12" t="s">
        <v>782</v>
      </c>
    </row>
    <row r="117" spans="1:3" x14ac:dyDescent="0.25">
      <c r="A117" s="214" t="s">
        <v>786</v>
      </c>
      <c r="B117" s="12">
        <f>'Flyback DCM'!B195*'Flyback DCM'!B200/('Flyback DCM'!B204*1000)</f>
        <v>4.8387096774193547E-2</v>
      </c>
      <c r="C117" s="12" t="s">
        <v>517</v>
      </c>
    </row>
    <row r="118" spans="1:3" x14ac:dyDescent="0.25">
      <c r="A118" s="310" t="s">
        <v>792</v>
      </c>
      <c r="B118" s="310"/>
      <c r="C118" s="310"/>
    </row>
    <row r="119" spans="1:3" x14ac:dyDescent="0.25">
      <c r="A119" s="214" t="s">
        <v>793</v>
      </c>
      <c r="B119" s="8">
        <f>((2*PI()*'Flyback DCM'!B183*1000)/(B113))*SQRT((1+('Flyback DCM'!B183*1000/('Flyback DCM'!B185*1000))^2)/(1+('Flyback DCM'!B183*1000/('Flyback DCM'!B186*1000))^2))</f>
        <v>259.18922777116035</v>
      </c>
      <c r="C119" s="12"/>
    </row>
    <row r="120" spans="1:3" x14ac:dyDescent="0.25">
      <c r="A120" s="214" t="s">
        <v>794</v>
      </c>
      <c r="B120" s="8">
        <f>'Flyback DCM'!B244*1000*2*PI()</f>
        <v>273000.27300027304</v>
      </c>
      <c r="C120" s="12" t="s">
        <v>782</v>
      </c>
    </row>
    <row r="121" spans="1:3" x14ac:dyDescent="0.25">
      <c r="A121" s="214" t="s">
        <v>795</v>
      </c>
      <c r="B121" s="8">
        <f>'Flyback DCM'!B245*1000*2*PI()</f>
        <v>4171.4812512775161</v>
      </c>
      <c r="C121" s="12"/>
    </row>
  </sheetData>
  <mergeCells count="16">
    <mergeCell ref="DL2:DM2"/>
    <mergeCell ref="DN2:DO2"/>
    <mergeCell ref="A114:C114"/>
    <mergeCell ref="A118:C118"/>
    <mergeCell ref="A107:C107"/>
    <mergeCell ref="DH2:DI2"/>
    <mergeCell ref="DF2:DG2"/>
    <mergeCell ref="DJ2:DK2"/>
    <mergeCell ref="A64:C64"/>
    <mergeCell ref="A72:C72"/>
    <mergeCell ref="A55:C55"/>
    <mergeCell ref="BB2:BC2"/>
    <mergeCell ref="BD2:BE2"/>
    <mergeCell ref="A4:B4"/>
    <mergeCell ref="A9:B9"/>
    <mergeCell ref="A24:B24"/>
  </mergeCells>
  <conditionalFormatting sqref="K4:AW54">
    <cfRule type="expression" dxfId="3" priority="4">
      <formula>MOD(ROW(),2)=1</formula>
    </cfRule>
  </conditionalFormatting>
  <conditionalFormatting sqref="AX4:BE54">
    <cfRule type="expression" dxfId="2" priority="3">
      <formula>MOD(ROW(),2)=1</formula>
    </cfRule>
  </conditionalFormatting>
  <conditionalFormatting sqref="F9:H12">
    <cfRule type="cellIs" dxfId="1" priority="1" operator="equal">
      <formula>0</formula>
    </cfRule>
    <cfRule type="cellIs" dxfId="0" priority="2" operator="equal">
      <formula>1</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52"/>
  <sheetViews>
    <sheetView zoomScaleNormal="100" workbookViewId="0">
      <selection activeCell="G32" sqref="G32"/>
    </sheetView>
  </sheetViews>
  <sheetFormatPr defaultRowHeight="15" x14ac:dyDescent="0.25"/>
  <cols>
    <col min="1" max="1" width="16" bestFit="1" customWidth="1"/>
    <col min="2" max="2" width="12" bestFit="1" customWidth="1"/>
    <col min="3" max="3" width="6.42578125" bestFit="1" customWidth="1"/>
    <col min="5" max="6" width="12" bestFit="1" customWidth="1"/>
    <col min="8" max="8" width="9.5703125" bestFit="1" customWidth="1"/>
    <col min="9" max="9" width="12" bestFit="1" customWidth="1"/>
    <col min="14" max="14" width="10.28515625" bestFit="1" customWidth="1"/>
    <col min="15" max="15" width="14" customWidth="1"/>
    <col min="16" max="16" width="10.28515625" bestFit="1" customWidth="1"/>
    <col min="18" max="18" width="15.28515625" customWidth="1"/>
    <col min="30" max="30" width="10.28515625" bestFit="1" customWidth="1"/>
    <col min="44" max="44" width="10.28515625" bestFit="1" customWidth="1"/>
  </cols>
  <sheetData>
    <row r="1" spans="1:56" s="331" customFormat="1" x14ac:dyDescent="0.25">
      <c r="A1" s="331" t="s">
        <v>961</v>
      </c>
    </row>
    <row r="2" spans="1:56" s="331" customFormat="1" x14ac:dyDescent="0.25"/>
    <row r="3" spans="1:56" ht="19.5" thickBot="1" x14ac:dyDescent="0.35">
      <c r="A3" s="305" t="s">
        <v>904</v>
      </c>
      <c r="B3" s="305"/>
      <c r="C3" s="305"/>
      <c r="D3" s="282"/>
    </row>
    <row r="4" spans="1:56" ht="15.75" thickBot="1" x14ac:dyDescent="0.3">
      <c r="A4" s="292"/>
      <c r="B4" s="282" t="s">
        <v>903</v>
      </c>
      <c r="C4" s="282"/>
      <c r="D4" s="282"/>
      <c r="E4" s="302"/>
      <c r="G4" s="92" t="s">
        <v>244</v>
      </c>
    </row>
    <row r="5" spans="1:56" ht="16.5" customHeight="1" thickBot="1" x14ac:dyDescent="0.3">
      <c r="A5" s="283"/>
      <c r="B5" s="282" t="s">
        <v>905</v>
      </c>
      <c r="C5" s="282"/>
      <c r="D5" s="282"/>
    </row>
    <row r="6" spans="1:56" ht="16.5" customHeight="1" thickBot="1" x14ac:dyDescent="0.3">
      <c r="A6" s="284"/>
      <c r="B6" s="282" t="s">
        <v>906</v>
      </c>
      <c r="C6" s="282"/>
      <c r="D6" s="282"/>
    </row>
    <row r="7" spans="1:56" ht="16.5" customHeight="1" thickBot="1" x14ac:dyDescent="0.3"/>
    <row r="8" spans="1:56" s="330" customFormat="1" ht="15.75" thickBot="1" x14ac:dyDescent="0.3">
      <c r="A8" s="329" t="s">
        <v>47</v>
      </c>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row>
    <row r="9" spans="1:56" s="330" customFormat="1" x14ac:dyDescent="0.25">
      <c r="A9" s="329"/>
      <c r="B9" s="329"/>
      <c r="C9" s="329"/>
      <c r="D9" s="329"/>
      <c r="E9" s="329"/>
      <c r="F9" s="329"/>
      <c r="G9" s="329"/>
      <c r="H9" s="329"/>
      <c r="I9" s="329"/>
      <c r="J9" s="329"/>
      <c r="K9" s="329"/>
      <c r="L9" s="329"/>
      <c r="M9" s="329"/>
      <c r="N9" s="329"/>
      <c r="O9" s="329"/>
      <c r="P9" s="329"/>
      <c r="Q9" s="329"/>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row>
    <row r="10" spans="1:56" x14ac:dyDescent="0.25">
      <c r="A10" s="91"/>
      <c r="B10" s="92"/>
      <c r="C10" s="92"/>
      <c r="D10" s="92"/>
      <c r="E10" s="92" t="s">
        <v>271</v>
      </c>
      <c r="F10" s="92"/>
      <c r="G10" s="92"/>
      <c r="H10" s="92"/>
      <c r="I10" s="92"/>
      <c r="J10" s="92"/>
      <c r="K10" s="92"/>
      <c r="L10" s="92"/>
      <c r="M10" s="93"/>
    </row>
    <row r="11" spans="1:56" x14ac:dyDescent="0.25">
      <c r="A11" s="91"/>
      <c r="B11" s="92"/>
      <c r="C11" s="92"/>
      <c r="D11" s="92"/>
      <c r="E11" s="92">
        <f>MATCH(Kg_FB,Trans_Core!B2:B7,-1)</f>
        <v>4</v>
      </c>
      <c r="F11" s="92"/>
      <c r="G11" s="92"/>
      <c r="H11" s="92"/>
      <c r="I11" s="92"/>
      <c r="J11" s="92"/>
      <c r="K11" s="92"/>
      <c r="L11" s="92"/>
      <c r="M11" s="93"/>
    </row>
    <row r="12" spans="1:56" x14ac:dyDescent="0.25">
      <c r="A12" s="91"/>
      <c r="B12" s="92"/>
      <c r="C12" s="92"/>
      <c r="D12" s="92"/>
      <c r="E12" s="92"/>
      <c r="F12" s="92"/>
      <c r="G12" s="92"/>
      <c r="H12" s="92"/>
      <c r="I12" s="92"/>
      <c r="J12" s="92"/>
      <c r="K12" s="92"/>
      <c r="L12" s="92"/>
      <c r="M12" s="93"/>
    </row>
    <row r="13" spans="1:56" x14ac:dyDescent="0.25">
      <c r="A13" s="91" t="s">
        <v>66</v>
      </c>
      <c r="B13" s="92"/>
      <c r="C13" s="92"/>
      <c r="D13" s="92"/>
      <c r="E13" s="309" t="s">
        <v>165</v>
      </c>
      <c r="F13" s="309"/>
      <c r="G13" s="94"/>
      <c r="H13" s="94"/>
      <c r="I13" s="94"/>
      <c r="J13" s="92"/>
      <c r="K13" s="92"/>
      <c r="L13" s="92"/>
      <c r="M13" s="93"/>
    </row>
    <row r="14" spans="1:56" x14ac:dyDescent="0.25">
      <c r="A14" s="91" t="s">
        <v>24</v>
      </c>
      <c r="B14" s="12">
        <f>Pout_FB</f>
        <v>5</v>
      </c>
      <c r="C14" s="92" t="s">
        <v>91</v>
      </c>
      <c r="D14" s="92"/>
      <c r="E14" s="92" t="s">
        <v>114</v>
      </c>
      <c r="F14" s="111" t="str">
        <f>VLOOKUP(T_Index_FB,Trans_Core!A2:H7,3,FALSE)</f>
        <v>E13/7/4</v>
      </c>
      <c r="G14" s="92"/>
      <c r="H14" s="92"/>
      <c r="I14" s="92"/>
      <c r="J14" s="92"/>
      <c r="K14" s="92"/>
      <c r="L14" s="92"/>
      <c r="M14" s="93"/>
    </row>
    <row r="15" spans="1:56" x14ac:dyDescent="0.25">
      <c r="A15" s="91" t="s">
        <v>149</v>
      </c>
      <c r="B15" s="297">
        <v>0.5</v>
      </c>
      <c r="C15" s="92"/>
      <c r="D15" s="92"/>
      <c r="E15" s="92" t="s">
        <v>84</v>
      </c>
      <c r="F15" s="111">
        <f>VLOOKUP(T_Index_FB,Trans_Core!A2:H7,6,FALSE)</f>
        <v>29.7</v>
      </c>
      <c r="G15" s="92" t="s">
        <v>90</v>
      </c>
      <c r="H15" s="92"/>
      <c r="I15" s="92"/>
      <c r="J15" s="92"/>
      <c r="K15" s="92"/>
      <c r="L15" s="92"/>
      <c r="M15" s="93"/>
    </row>
    <row r="16" spans="1:56" x14ac:dyDescent="0.25">
      <c r="A16" s="91" t="s">
        <v>151</v>
      </c>
      <c r="B16" s="297">
        <v>1.5</v>
      </c>
      <c r="C16" s="92" t="s">
        <v>91</v>
      </c>
      <c r="D16" s="92"/>
      <c r="E16" s="92" t="s">
        <v>85</v>
      </c>
      <c r="F16" s="96">
        <f>VLOOKUP(T_Index_FB,Trans_Core!A2:H7,5,FALSE)</f>
        <v>12.4</v>
      </c>
      <c r="G16" s="92" t="s">
        <v>89</v>
      </c>
      <c r="H16" s="92"/>
      <c r="I16" s="92"/>
      <c r="J16" s="92"/>
      <c r="K16" s="92"/>
      <c r="L16" s="92"/>
      <c r="M16" s="93"/>
    </row>
    <row r="17" spans="1:13" x14ac:dyDescent="0.25">
      <c r="A17" s="91" t="s">
        <v>87</v>
      </c>
      <c r="B17" s="297">
        <v>0.25</v>
      </c>
      <c r="C17" s="92" t="s">
        <v>157</v>
      </c>
      <c r="D17" s="92"/>
      <c r="E17" s="92" t="s">
        <v>86</v>
      </c>
      <c r="F17" s="111">
        <f>VLOOKUP(T_Index_FB,Trans_Core!A2:H7,4,FALSE)</f>
        <v>369</v>
      </c>
      <c r="G17" s="92" t="s">
        <v>88</v>
      </c>
      <c r="H17" s="92"/>
      <c r="I17" s="92"/>
      <c r="J17" s="92"/>
      <c r="K17" s="92"/>
      <c r="L17" s="92"/>
      <c r="M17" s="93"/>
    </row>
    <row r="18" spans="1:13" x14ac:dyDescent="0.25">
      <c r="A18" s="91" t="s">
        <v>152</v>
      </c>
      <c r="B18" s="39">
        <f>(pcu*(Lm_FlyB^2)*(ILrms_Total_Max_FB^2)*(ILpeak_Max_FB^2)*(10^8))/((Bmax_FB^2)*Pcu_Loss_FB*Ku_FB)</f>
        <v>6.3132491935450279E-5</v>
      </c>
      <c r="C18" s="92" t="s">
        <v>158</v>
      </c>
      <c r="D18" s="92"/>
      <c r="E18" s="92" t="s">
        <v>176</v>
      </c>
      <c r="F18" s="111">
        <f>VLOOKUP(T_Index_FB,Trans_Core!A2:H7,7,FALSE)</f>
        <v>10.4</v>
      </c>
      <c r="G18" s="92" t="s">
        <v>89</v>
      </c>
      <c r="H18" s="92"/>
      <c r="I18" s="92"/>
      <c r="J18" s="92"/>
      <c r="K18" s="92"/>
      <c r="L18" s="92"/>
      <c r="M18" s="93"/>
    </row>
    <row r="19" spans="1:13" x14ac:dyDescent="0.25">
      <c r="A19" s="91"/>
      <c r="B19" s="92"/>
      <c r="C19" s="92"/>
      <c r="D19" s="92"/>
      <c r="E19" s="92" t="s">
        <v>234</v>
      </c>
      <c r="F19" s="111">
        <f>VLOOKUP(T_Index_FB,Trans_Core!A2:H7,8,FALSE)</f>
        <v>29.6</v>
      </c>
      <c r="G19" s="92" t="s">
        <v>90</v>
      </c>
      <c r="H19" s="92"/>
      <c r="I19" s="92"/>
      <c r="J19" s="92"/>
      <c r="K19" s="92"/>
      <c r="L19" s="92"/>
      <c r="M19" s="93"/>
    </row>
    <row r="20" spans="1:13" x14ac:dyDescent="0.25">
      <c r="A20" s="91" t="s">
        <v>84</v>
      </c>
      <c r="B20" s="297">
        <v>29.7</v>
      </c>
      <c r="C20" s="92" t="s">
        <v>90</v>
      </c>
      <c r="D20" s="92"/>
      <c r="E20" s="92"/>
      <c r="F20" s="92"/>
      <c r="G20" s="92"/>
      <c r="H20" s="92"/>
      <c r="I20" s="92" t="s">
        <v>244</v>
      </c>
      <c r="J20" s="92"/>
      <c r="K20" s="92"/>
      <c r="L20" s="92"/>
      <c r="M20" s="93"/>
    </row>
    <row r="21" spans="1:13" x14ac:dyDescent="0.25">
      <c r="A21" s="91" t="s">
        <v>85</v>
      </c>
      <c r="B21" s="297">
        <v>12.4</v>
      </c>
      <c r="C21" s="92" t="s">
        <v>89</v>
      </c>
      <c r="D21" s="92"/>
      <c r="E21" s="97"/>
      <c r="F21" s="92"/>
      <c r="G21" s="92"/>
      <c r="H21" s="92"/>
      <c r="I21" s="92"/>
      <c r="J21" s="92"/>
      <c r="K21" s="92"/>
      <c r="L21" s="92"/>
      <c r="M21" s="93"/>
    </row>
    <row r="22" spans="1:13" x14ac:dyDescent="0.25">
      <c r="A22" s="91" t="s">
        <v>86</v>
      </c>
      <c r="B22" s="297">
        <v>369</v>
      </c>
      <c r="C22" s="92" t="s">
        <v>88</v>
      </c>
      <c r="D22" s="92"/>
      <c r="E22" s="98"/>
      <c r="F22" s="92"/>
      <c r="G22" s="92"/>
      <c r="H22" s="92"/>
      <c r="I22" s="92"/>
      <c r="J22" s="92"/>
      <c r="K22" s="92"/>
      <c r="L22" s="92"/>
      <c r="M22" s="93"/>
    </row>
    <row r="23" spans="1:13" x14ac:dyDescent="0.25">
      <c r="A23" s="91" t="s">
        <v>176</v>
      </c>
      <c r="B23" s="297">
        <v>10.4</v>
      </c>
      <c r="C23" s="92" t="s">
        <v>89</v>
      </c>
      <c r="D23" s="92"/>
      <c r="E23" s="92"/>
      <c r="F23" s="92"/>
      <c r="G23" s="92"/>
      <c r="H23" s="92"/>
      <c r="I23" s="92"/>
      <c r="J23" s="92"/>
      <c r="K23" s="92"/>
      <c r="L23" s="92"/>
      <c r="M23" s="93"/>
    </row>
    <row r="24" spans="1:13" x14ac:dyDescent="0.25">
      <c r="A24" s="91" t="s">
        <v>234</v>
      </c>
      <c r="B24" s="297">
        <v>29.6</v>
      </c>
      <c r="C24" s="92" t="s">
        <v>90</v>
      </c>
      <c r="D24" s="92"/>
      <c r="E24" s="92"/>
      <c r="F24" s="92"/>
      <c r="G24" s="92"/>
      <c r="H24" s="92"/>
      <c r="I24" s="92"/>
      <c r="J24" s="92"/>
      <c r="K24" s="92"/>
      <c r="L24" s="92"/>
      <c r="M24" s="93"/>
    </row>
    <row r="25" spans="1:13" x14ac:dyDescent="0.25">
      <c r="A25" s="91" t="s">
        <v>174</v>
      </c>
      <c r="B25" s="21">
        <f>((PermAir*Lm_FlyB*(ILpeak_Max_FB^2))/((Bmax_FB^2)*(Ae_FB/100)))*(10^4)*1000</f>
        <v>0.1131269624113658</v>
      </c>
      <c r="C25" s="92" t="s">
        <v>90</v>
      </c>
      <c r="D25" s="92"/>
      <c r="E25" s="92"/>
      <c r="F25" s="92"/>
      <c r="G25" s="92"/>
      <c r="H25" s="92"/>
      <c r="I25" s="92"/>
      <c r="J25" s="92"/>
      <c r="K25" s="92"/>
      <c r="L25" s="92"/>
      <c r="M25" s="93"/>
    </row>
    <row r="26" spans="1:13" x14ac:dyDescent="0.25">
      <c r="A26" s="99" t="s">
        <v>192</v>
      </c>
      <c r="B26" s="111"/>
      <c r="C26" s="92"/>
      <c r="D26" s="92"/>
      <c r="E26" s="111" t="s">
        <v>191</v>
      </c>
      <c r="F26" s="92"/>
      <c r="G26" s="92"/>
      <c r="H26" s="92"/>
      <c r="I26" s="92"/>
      <c r="J26" s="92"/>
      <c r="K26" s="92"/>
      <c r="L26" s="92"/>
      <c r="M26" s="93"/>
    </row>
    <row r="27" spans="1:13" x14ac:dyDescent="0.25">
      <c r="A27" s="91" t="s">
        <v>175</v>
      </c>
      <c r="B27" s="12">
        <f>CEILING(((Lm_FlyB*ILpeak_Max_FB)/(Bmax_FB*(Ae_FB/100)))*(10^4),1)</f>
        <v>18</v>
      </c>
      <c r="C27" s="92"/>
      <c r="D27" s="92"/>
      <c r="E27" s="92"/>
      <c r="F27" s="92"/>
      <c r="G27" s="92"/>
      <c r="H27" s="92"/>
      <c r="I27" s="92"/>
      <c r="J27" s="92"/>
      <c r="K27" s="92"/>
      <c r="L27" s="92"/>
      <c r="M27" s="93"/>
    </row>
    <row r="28" spans="1:13" x14ac:dyDescent="0.25">
      <c r="A28" s="91" t="s">
        <v>106</v>
      </c>
      <c r="B28" s="297">
        <v>21</v>
      </c>
      <c r="C28" s="92"/>
      <c r="D28" s="100" t="s">
        <v>190</v>
      </c>
      <c r="E28" s="101">
        <f>(Np_T_FB*ILrms_Ipri_FB)/(Np_T_FB*ILrms_Total_Max_FB)</f>
        <v>0.34253254029004893</v>
      </c>
      <c r="F28" s="92"/>
      <c r="G28" s="92"/>
      <c r="H28" s="92"/>
      <c r="I28" s="92"/>
      <c r="J28" s="92"/>
      <c r="K28" s="92"/>
      <c r="L28" s="92"/>
      <c r="M28" s="93"/>
    </row>
    <row r="29" spans="1:13" x14ac:dyDescent="0.25">
      <c r="A29" s="91" t="s">
        <v>107</v>
      </c>
      <c r="B29" s="12">
        <f>ROUND((Ns1_FlyB/Np)*Np_T_FB,0)</f>
        <v>22</v>
      </c>
      <c r="C29" s="92"/>
      <c r="D29" s="100" t="s">
        <v>184</v>
      </c>
      <c r="E29" s="101">
        <f>(NVout1_T_FB*ILrms_VOUT1_FB)/(Np_T_FB*ILrms_Total_Max_FB)</f>
        <v>0.32489407263294978</v>
      </c>
      <c r="F29" s="92"/>
      <c r="G29" s="92"/>
      <c r="H29" s="92"/>
      <c r="I29" s="92"/>
      <c r="J29" s="92"/>
      <c r="K29" s="92"/>
      <c r="L29" s="92"/>
      <c r="M29" s="93"/>
    </row>
    <row r="30" spans="1:13" x14ac:dyDescent="0.25">
      <c r="A30" s="91" t="s">
        <v>108</v>
      </c>
      <c r="B30" s="12">
        <f>ROUND((Ns2_FlyB/Np)*Np_T_FB,0)</f>
        <v>22</v>
      </c>
      <c r="C30" s="92"/>
      <c r="D30" s="100" t="s">
        <v>185</v>
      </c>
      <c r="E30" s="101">
        <f>(NVout2_T_FB*ILrms_VOUT2_FB)/(Np_T_FB*ILrms_Total_Max_FB)</f>
        <v>0.32489407263294978</v>
      </c>
      <c r="F30" s="92"/>
      <c r="G30" s="92"/>
      <c r="H30" s="92"/>
      <c r="I30" s="92"/>
      <c r="J30" s="92"/>
      <c r="K30" s="92"/>
      <c r="L30" s="92"/>
      <c r="M30" s="93"/>
    </row>
    <row r="31" spans="1:13" x14ac:dyDescent="0.25">
      <c r="A31" s="91" t="s">
        <v>109</v>
      </c>
      <c r="B31" s="12">
        <f>ROUND((Ns3_FlyB/Np)*Np_T_FB,0)</f>
        <v>0</v>
      </c>
      <c r="C31" s="92"/>
      <c r="D31" s="100" t="s">
        <v>186</v>
      </c>
      <c r="E31" s="101">
        <f>(NVout3_T_FB*ILrms_VOUT3_FB)/(Np_T_FB*ILrms_Total_Max_FB)</f>
        <v>0</v>
      </c>
      <c r="F31" s="92"/>
      <c r="G31" s="92"/>
      <c r="H31" s="92"/>
      <c r="I31" s="92"/>
      <c r="J31" s="92"/>
      <c r="K31" s="92"/>
      <c r="L31" s="92"/>
      <c r="M31" s="93"/>
    </row>
    <row r="32" spans="1:13" x14ac:dyDescent="0.25">
      <c r="A32" s="91" t="s">
        <v>110</v>
      </c>
      <c r="B32" s="12">
        <f>ROUND((Ns4_FlyB/Np)*Np_T_FB,0)</f>
        <v>0</v>
      </c>
      <c r="C32" s="92"/>
      <c r="D32" s="100" t="s">
        <v>187</v>
      </c>
      <c r="E32" s="101">
        <f>(NVout4_T_FB*ILrms_VOUT4_FB)/(Np_T_FB*ILrms_Total_Max_FB)</f>
        <v>0</v>
      </c>
      <c r="F32" s="92"/>
      <c r="G32" s="92"/>
      <c r="H32" s="92"/>
      <c r="I32" s="92"/>
      <c r="J32" s="92"/>
      <c r="K32" s="92"/>
      <c r="L32" s="92"/>
      <c r="M32" s="93"/>
    </row>
    <row r="33" spans="1:56" x14ac:dyDescent="0.25">
      <c r="A33" s="91" t="s">
        <v>111</v>
      </c>
      <c r="B33" s="12">
        <f>ROUND((Ns5_FlyB/Np)*Np_T_FB,0)</f>
        <v>0</v>
      </c>
      <c r="C33" s="92"/>
      <c r="D33" s="100" t="s">
        <v>188</v>
      </c>
      <c r="E33" s="101">
        <f>(NVout5_T_FB*ILrms_VOUT5_FB)/(Np_T_FB*ILrms_Total_Max_FB)</f>
        <v>0</v>
      </c>
      <c r="F33" s="92"/>
      <c r="G33" s="92"/>
      <c r="H33" s="92"/>
      <c r="I33" s="92"/>
      <c r="J33" s="92"/>
      <c r="K33" s="92"/>
      <c r="L33" s="92"/>
      <c r="M33" s="93"/>
    </row>
    <row r="34" spans="1:56" x14ac:dyDescent="0.25">
      <c r="A34" s="91" t="s">
        <v>112</v>
      </c>
      <c r="B34" s="12">
        <f>ROUND((Ns6_FlyB/Np)*Np_T_FB,0)</f>
        <v>0</v>
      </c>
      <c r="C34" s="92"/>
      <c r="D34" s="100" t="s">
        <v>189</v>
      </c>
      <c r="E34" s="101">
        <f>(NVout6_T_FB*ILrms_VOUT6_FB)/(Np_T_FB*ILrms_Total_Max_FB)</f>
        <v>0</v>
      </c>
      <c r="F34" s="92"/>
      <c r="G34" s="92"/>
      <c r="H34" s="92"/>
      <c r="I34" s="92"/>
      <c r="J34" s="92"/>
      <c r="K34" s="92"/>
      <c r="L34" s="92"/>
      <c r="M34" s="93"/>
    </row>
    <row r="35" spans="1:56" x14ac:dyDescent="0.25">
      <c r="A35" s="91"/>
      <c r="B35" s="92"/>
      <c r="C35" s="92"/>
      <c r="D35" s="100" t="s">
        <v>274</v>
      </c>
      <c r="E35" s="92" t="s">
        <v>26</v>
      </c>
      <c r="F35" s="92"/>
      <c r="G35" s="92" t="s">
        <v>283</v>
      </c>
      <c r="H35" s="92"/>
      <c r="I35" s="92"/>
      <c r="K35" s="92"/>
      <c r="L35" s="92"/>
      <c r="M35" s="115"/>
    </row>
    <row r="36" spans="1:56" x14ac:dyDescent="0.25">
      <c r="A36" s="91" t="s">
        <v>193</v>
      </c>
      <c r="B36" s="98">
        <f>(aPri_FB*Ku_FB*(Wa_FB/100))/Np_T_FB</f>
        <v>8.4817581405154986E-4</v>
      </c>
      <c r="C36" s="92" t="s">
        <v>200</v>
      </c>
      <c r="D36" s="92">
        <f>IF(AwPri_FB&lt;&gt;0,IF(VLOOKUP(AwPri_FB,Trans_Core!X2:Z24,1,TRUE)&lt;AwPri_FB,VLOOKUP(AwPri_FB,Trans_Core!X2:Z24,2,TRUE)-1,VLOOKUP(AwPri_FB,Trans_Core!X2:Z24,1,TRUE)),0)</f>
        <v>27</v>
      </c>
      <c r="E36" s="300">
        <v>27</v>
      </c>
      <c r="F36" s="92" t="s">
        <v>201</v>
      </c>
      <c r="G36" s="98">
        <f>IF(AwPri_FB&lt;&gt;0,VLOOKUP(AWG_FB,Trans_Core!AC2:AD26,2,TRUE),0)</f>
        <v>1.021E-3</v>
      </c>
      <c r="H36" s="92" t="s">
        <v>200</v>
      </c>
      <c r="I36" s="92" t="s">
        <v>237</v>
      </c>
      <c r="J36" s="103">
        <f>IF(AwPri_FB&lt;&gt;0,pcu_100C*((MLT_FB/10)*Np_T_FB)/G36,0)</f>
        <v>0.14002742409402544</v>
      </c>
      <c r="K36" s="100" t="s">
        <v>254</v>
      </c>
      <c r="L36" s="92" t="s">
        <v>247</v>
      </c>
      <c r="M36" s="93">
        <f>IF((G36/2)&lt;dSkin,RdcPri_FB,(G36/dSkin)*RdcPri_FB)</f>
        <v>0.14002742409402544</v>
      </c>
    </row>
    <row r="37" spans="1:56" x14ac:dyDescent="0.25">
      <c r="A37" s="91" t="s">
        <v>194</v>
      </c>
      <c r="B37" s="98">
        <f>IF(NVout1_T_FB&lt;&gt;0,(a1_FB*Ku_FB*(Wa_FB/100))/NVout1_T_FB,0)</f>
        <v>7.6793144440515408E-4</v>
      </c>
      <c r="C37" s="92" t="s">
        <v>200</v>
      </c>
      <c r="D37" s="92">
        <f>IF(Aw1_FB&lt;&gt;0,IF(VLOOKUP(Aw1_FB,Trans_Core!X2:Z24,1,TRUE)&lt;Aw1_FB,VLOOKUP(Aw1_FB,Trans_Core!X2:Z24,2,TRUE)-1,VLOOKUP(Aw1_FB,Trans_Core!X2:Z24,1,TRUE)),0)</f>
        <v>28</v>
      </c>
      <c r="E37" s="300">
        <v>31</v>
      </c>
      <c r="F37" s="92" t="s">
        <v>201</v>
      </c>
      <c r="G37" s="98">
        <f>IF(Aw1_FB&lt;&gt;0,VLOOKUP(AWG1_FB,Trans_Core!AC2:AD26,2,TRUE),0)</f>
        <v>4.0132000000000004E-4</v>
      </c>
      <c r="H37" s="92" t="s">
        <v>200</v>
      </c>
      <c r="I37" s="92" t="s">
        <v>238</v>
      </c>
      <c r="J37" s="103">
        <f>IF(Aw1_FB&lt;&gt;0,pcu_100C*((MLT_FB/10)*NVout1_T_FB)/G37,0)</f>
        <v>0.37320841223960921</v>
      </c>
      <c r="K37" s="100" t="s">
        <v>254</v>
      </c>
      <c r="L37" s="92" t="s">
        <v>248</v>
      </c>
      <c r="M37" s="93">
        <f>IF((G37/2)&lt;dSkin,Rdc1_FB,(G37/dSkin)*Rdc1_FB)</f>
        <v>0.37320841223960921</v>
      </c>
    </row>
    <row r="38" spans="1:56" x14ac:dyDescent="0.25">
      <c r="A38" s="91" t="s">
        <v>195</v>
      </c>
      <c r="B38" s="98">
        <f>IF(NVout2_T_FB&lt;&gt;0,(a2_FB*Ku_FB*(Wa_FB/100))/NVout2_T_FB,0)</f>
        <v>7.6793144440515408E-4</v>
      </c>
      <c r="C38" s="92" t="s">
        <v>200</v>
      </c>
      <c r="D38" s="92">
        <f>IF(Aw2_FB&lt;&gt;0,IF(VLOOKUP(Aw2_FB,Trans_Core!X2:Z24,1,TRUE)&lt;Aw2_FB,VLOOKUP(Aw2_FB,Trans_Core!X2:Z24,2,TRUE)-1,VLOOKUP(Aw2_FB,Trans_Core!X2:Z24,1,TRUE)),0)</f>
        <v>28</v>
      </c>
      <c r="E38" s="300">
        <v>31</v>
      </c>
      <c r="F38" s="92" t="s">
        <v>201</v>
      </c>
      <c r="G38" s="98">
        <f>IF(Aw2_FB&lt;&gt;0,VLOOKUP(AWG2_FB,Trans_Core!AC2:AD26,2,TRUE),0)</f>
        <v>4.0132000000000004E-4</v>
      </c>
      <c r="H38" s="92" t="s">
        <v>200</v>
      </c>
      <c r="I38" s="92" t="s">
        <v>239</v>
      </c>
      <c r="J38" s="103">
        <f>IF(Aw2_FB&lt;&gt;0,pcu_100C*((MLT_FB/10)*NVout2_T_FB)/G38,0)</f>
        <v>0.37320841223960921</v>
      </c>
      <c r="K38" s="100" t="s">
        <v>254</v>
      </c>
      <c r="L38" s="92" t="s">
        <v>249</v>
      </c>
      <c r="M38" s="93">
        <f>IF((G38/2)&lt;dSkin,Rdc2_FB,(G38/dSkin)*Rdc2_FB)</f>
        <v>0.37320841223960921</v>
      </c>
    </row>
    <row r="39" spans="1:56" x14ac:dyDescent="0.25">
      <c r="A39" s="91" t="s">
        <v>196</v>
      </c>
      <c r="B39" s="98">
        <f>IF(NVout3_T_FB&lt;&gt;0,(a3_FB*Ku_FB*(Wa_FB/100))/NVout3_T_FB,0)</f>
        <v>0</v>
      </c>
      <c r="C39" s="92" t="s">
        <v>200</v>
      </c>
      <c r="D39" s="92">
        <f>IF(Aw3_FB&lt;&gt;0,IF(VLOOKUP(Aw3_FB,Trans_Core!X2:Z24,1,TRUE)&lt;Aw3_FB,VLOOKUP(Aw3_FB,Trans_Core!X2:Z24,2,TRUE)-1,VLOOKUP(Aw3_FB,Trans_Core!X2:Z24,1,TRUE)),0)</f>
        <v>0</v>
      </c>
      <c r="E39" s="300">
        <v>0</v>
      </c>
      <c r="F39" s="92" t="s">
        <v>201</v>
      </c>
      <c r="G39" s="92">
        <f>IF(Aw3_FB&lt;&gt;0,VLOOKUP(AWG3_FB,Trans_Core!AC2:AD26,2,TRUE),0)</f>
        <v>0</v>
      </c>
      <c r="H39" s="92" t="s">
        <v>200</v>
      </c>
      <c r="I39" s="92" t="s">
        <v>240</v>
      </c>
      <c r="J39" s="92">
        <f>IF(Aw3_FB&lt;&gt;0,pcu_100C*((MLT_FB/10)*NVout3_T_FB)/G39,0)</f>
        <v>0</v>
      </c>
      <c r="K39" s="100" t="s">
        <v>254</v>
      </c>
      <c r="L39" s="92" t="s">
        <v>250</v>
      </c>
      <c r="M39" s="93">
        <f>IF((G39/2)&lt;dSkin,Rdc3_FB,(G39/dSkin)*Rdc3_FB)</f>
        <v>0</v>
      </c>
    </row>
    <row r="40" spans="1:56" x14ac:dyDescent="0.25">
      <c r="A40" s="91" t="s">
        <v>197</v>
      </c>
      <c r="B40" s="98">
        <f>IF(NVout4_T_FB&lt;&gt;0,(a4_FB*Ku_FB*(Wa_FB/100))/NVout4_T_FB,0)</f>
        <v>0</v>
      </c>
      <c r="C40" s="92" t="s">
        <v>200</v>
      </c>
      <c r="D40" s="92">
        <f>IF(Aw4_FB&lt;&gt;0,IF(VLOOKUP(Aw4_FB,Trans_Core!X2:Z24,1,TRUE)&lt;Aw4_FB,VLOOKUP(Aw4_FB,Trans_Core!X2:Z24,2,TRUE)-1,VLOOKUP(Aw4_FB,Trans_Core!X2:Z24,1,TRUE)),0)</f>
        <v>0</v>
      </c>
      <c r="E40" s="300">
        <v>0</v>
      </c>
      <c r="F40" s="92" t="s">
        <v>201</v>
      </c>
      <c r="G40" s="92">
        <f>IF(Aw4_FB&lt;&gt;0,VLOOKUP(AWG4_FB,Trans_Core!AC2:AD26,2,TRUE),0)</f>
        <v>0</v>
      </c>
      <c r="H40" s="92" t="s">
        <v>200</v>
      </c>
      <c r="I40" s="92" t="s">
        <v>241</v>
      </c>
      <c r="J40" s="92">
        <f>IF(Aw4_FB&lt;&gt;0,pcu_100C*((MLT_FB/10)*NVout4_T_FB)/G40,0)</f>
        <v>0</v>
      </c>
      <c r="K40" s="100" t="s">
        <v>254</v>
      </c>
      <c r="L40" s="92" t="s">
        <v>251</v>
      </c>
      <c r="M40" s="93">
        <f>IF((G40/2)&lt;dSkin,Rdc4_FB,(G40/dSkin)*Rdc4_FB)</f>
        <v>0</v>
      </c>
    </row>
    <row r="41" spans="1:56" x14ac:dyDescent="0.25">
      <c r="A41" s="91" t="s">
        <v>198</v>
      </c>
      <c r="B41" s="98">
        <f>IF(NVout5_T_FB&lt;&gt;0,(a5_FB*Ku_FB*(Wa_FB/100))/NVout5_T_FB,0)</f>
        <v>0</v>
      </c>
      <c r="C41" s="92" t="s">
        <v>200</v>
      </c>
      <c r="D41" s="92">
        <f>IF(Aw5_FB&lt;&gt;0,IF(VLOOKUP(Aw5_FB,Trans_Core!X2:Z24,1,TRUE)&lt;Aw5_FB,VLOOKUP(Aw5_FB,Trans_Core!X2:Z24,2,TRUE)-1,VLOOKUP(Aw5_FB,Trans_Core!X2:Z24,1,TRUE)),0)</f>
        <v>0</v>
      </c>
      <c r="E41" s="300">
        <v>0</v>
      </c>
      <c r="F41" s="92" t="s">
        <v>201</v>
      </c>
      <c r="G41" s="92">
        <f>IF(Aw5_FB&lt;&gt;0,VLOOKUP(AWG5_FB,Trans_Core!AC2:AD26,2,TRUE),0)</f>
        <v>0</v>
      </c>
      <c r="H41" s="92" t="s">
        <v>200</v>
      </c>
      <c r="I41" s="92" t="s">
        <v>242</v>
      </c>
      <c r="J41" s="92">
        <f>IF(Aw5_FB&lt;&gt;0,pcu_100C*((MLT_FB/10)*NVout5_T_FB)/G41,0)</f>
        <v>0</v>
      </c>
      <c r="K41" s="100" t="s">
        <v>254</v>
      </c>
      <c r="L41" s="92" t="s">
        <v>252</v>
      </c>
      <c r="M41" s="93">
        <f>IF((G41/2)&lt;dSkin,Rdc5_FB,(G41/dSkin)*Rdc5_FB)</f>
        <v>0</v>
      </c>
    </row>
    <row r="42" spans="1:56" ht="15.75" thickBot="1" x14ac:dyDescent="0.3">
      <c r="A42" s="104" t="s">
        <v>199</v>
      </c>
      <c r="B42" s="136">
        <f>IF(NVout6_T_FB&lt;&gt;0,(a6_FB*Ku_FB*(Wa_FB/100))/NVout6_T_FB,0)</f>
        <v>0</v>
      </c>
      <c r="C42" s="106" t="s">
        <v>200</v>
      </c>
      <c r="D42" s="106">
        <f>IF(Aw6_FB&lt;&gt;0,IF(VLOOKUP(Aw6_FB,Trans_Core!X2:Z24,1,TRUE)&lt;Aw6_FB,VLOOKUP(Aw6_FB,Trans_Core!X2:Z24,2,TRUE)-1,VLOOKUP(Aw6_FB,Trans_Core!X2:Z24,1,TRUE)),0)</f>
        <v>0</v>
      </c>
      <c r="E42" s="301">
        <v>0</v>
      </c>
      <c r="F42" s="106" t="s">
        <v>201</v>
      </c>
      <c r="G42" s="106">
        <f>IF(Aw6_FB&lt;&gt;0,VLOOKUP(AWG6_FB,Trans_Core!AC2:AD26,2,TRUE),0)</f>
        <v>0</v>
      </c>
      <c r="H42" s="106" t="s">
        <v>200</v>
      </c>
      <c r="I42" s="106" t="s">
        <v>243</v>
      </c>
      <c r="J42" s="106">
        <f>IF(Aw6_FB&lt;&gt;0,pcu_100C*((MLT_FB/10)*NVout6_T_FB)/G42,0)</f>
        <v>0</v>
      </c>
      <c r="K42" s="107" t="s">
        <v>254</v>
      </c>
      <c r="L42" s="106" t="s">
        <v>253</v>
      </c>
      <c r="M42" s="108">
        <f>IF((G42/2)&lt;dSkin,Rdc6_FB,(G42/dSkin)*Rdc6_FB)</f>
        <v>0</v>
      </c>
    </row>
    <row r="43" spans="1:56" s="330" customFormat="1" ht="15.75" thickBot="1" x14ac:dyDescent="0.3">
      <c r="A43" s="329" t="s">
        <v>48</v>
      </c>
      <c r="B43" s="329"/>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29"/>
      <c r="AZ43" s="329"/>
      <c r="BA43" s="329"/>
      <c r="BB43" s="329"/>
      <c r="BC43" s="329"/>
      <c r="BD43" s="329"/>
    </row>
    <row r="44" spans="1:56" s="330" customFormat="1" x14ac:dyDescent="0.25">
      <c r="A44" s="329"/>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row>
    <row r="45" spans="1:56" x14ac:dyDescent="0.25">
      <c r="A45" s="91"/>
      <c r="B45" s="92"/>
      <c r="C45" s="92"/>
      <c r="D45" s="92"/>
      <c r="G45" s="92"/>
      <c r="H45" s="92"/>
      <c r="I45" s="92"/>
      <c r="J45" s="92"/>
      <c r="K45" s="92"/>
      <c r="L45" s="92"/>
      <c r="M45" s="93"/>
    </row>
    <row r="46" spans="1:56" x14ac:dyDescent="0.25">
      <c r="A46" s="91" t="s">
        <v>24</v>
      </c>
      <c r="B46" s="12">
        <f>Pout_FBB</f>
        <v>5</v>
      </c>
      <c r="C46" s="92" t="s">
        <v>91</v>
      </c>
      <c r="D46" s="92"/>
      <c r="G46" s="92"/>
      <c r="H46" s="92"/>
      <c r="I46" s="92"/>
      <c r="J46" s="92"/>
      <c r="K46" s="92"/>
      <c r="L46" s="92"/>
      <c r="M46" s="93"/>
    </row>
    <row r="47" spans="1:56" x14ac:dyDescent="0.25">
      <c r="A47" s="91" t="s">
        <v>149</v>
      </c>
      <c r="B47" s="297">
        <v>0.5</v>
      </c>
      <c r="C47" s="92"/>
      <c r="D47" s="92"/>
      <c r="E47" s="92" t="s">
        <v>271</v>
      </c>
      <c r="F47" s="92"/>
      <c r="G47" s="92"/>
      <c r="H47" s="92"/>
      <c r="I47" s="92"/>
      <c r="J47" s="92"/>
      <c r="K47" s="92"/>
      <c r="L47" s="92"/>
      <c r="M47" s="93"/>
    </row>
    <row r="48" spans="1:56" x14ac:dyDescent="0.25">
      <c r="A48" s="91" t="s">
        <v>151</v>
      </c>
      <c r="B48" s="297">
        <v>1.5</v>
      </c>
      <c r="C48" s="92" t="s">
        <v>91</v>
      </c>
      <c r="D48" s="92"/>
      <c r="E48" s="92">
        <f>MATCH(Kg_FBB,Trans_Core!B2:B7,-1)</f>
        <v>4</v>
      </c>
      <c r="F48" s="92"/>
      <c r="H48" s="94"/>
      <c r="I48" s="94"/>
      <c r="J48" s="92"/>
      <c r="K48" s="92"/>
      <c r="L48" s="92"/>
      <c r="M48" s="93"/>
    </row>
    <row r="49" spans="1:13" x14ac:dyDescent="0.25">
      <c r="A49" s="91" t="s">
        <v>87</v>
      </c>
      <c r="B49" s="297">
        <v>0.25</v>
      </c>
      <c r="C49" s="92" t="s">
        <v>157</v>
      </c>
      <c r="D49" s="92"/>
      <c r="H49" s="92"/>
      <c r="I49" s="92"/>
      <c r="J49" s="92"/>
      <c r="K49" s="92"/>
      <c r="L49" s="92"/>
      <c r="M49" s="93"/>
    </row>
    <row r="50" spans="1:13" x14ac:dyDescent="0.25">
      <c r="A50" s="91" t="s">
        <v>152</v>
      </c>
      <c r="B50" s="39">
        <f>(pcu*(Lm_FlyBB^2)*(ILrms_Total_Max_FBB^2)*(ILpeak_Max_FBB^2)*(10^8))/((Bmax_FBB^2)*Pcu_Loss_FBB*Ku_FBB)</f>
        <v>3.7286766876340444E-4</v>
      </c>
      <c r="C50" s="92" t="s">
        <v>158</v>
      </c>
      <c r="D50" s="92"/>
      <c r="H50" s="92"/>
      <c r="I50" s="92"/>
      <c r="J50" s="92"/>
      <c r="K50" s="92"/>
      <c r="L50" s="92"/>
      <c r="M50" s="93"/>
    </row>
    <row r="51" spans="1:13" x14ac:dyDescent="0.25">
      <c r="D51" s="92"/>
      <c r="H51" s="92"/>
      <c r="I51" s="92"/>
      <c r="J51" s="92"/>
      <c r="K51" s="92"/>
      <c r="L51" s="92"/>
      <c r="M51" s="93"/>
    </row>
    <row r="52" spans="1:13" x14ac:dyDescent="0.25">
      <c r="A52" s="311" t="s">
        <v>967</v>
      </c>
      <c r="B52" s="311"/>
      <c r="C52" s="311"/>
      <c r="D52" s="311"/>
      <c r="E52" s="311"/>
      <c r="F52" s="311"/>
      <c r="G52" s="311"/>
      <c r="H52" s="311"/>
      <c r="I52" s="311"/>
      <c r="J52" s="311"/>
      <c r="K52" s="311"/>
      <c r="L52" s="311"/>
      <c r="M52" s="333"/>
    </row>
    <row r="53" spans="1:13" x14ac:dyDescent="0.25">
      <c r="A53" s="309" t="s">
        <v>165</v>
      </c>
      <c r="B53" s="309"/>
      <c r="C53" s="309"/>
      <c r="D53" s="92"/>
      <c r="E53" s="311" t="s">
        <v>962</v>
      </c>
      <c r="F53" s="311"/>
      <c r="G53" s="311"/>
      <c r="H53" s="92"/>
      <c r="I53" s="92"/>
      <c r="J53" s="92"/>
      <c r="K53" s="92"/>
      <c r="L53" s="92"/>
      <c r="M53" s="93"/>
    </row>
    <row r="54" spans="1:13" x14ac:dyDescent="0.25">
      <c r="A54" s="92" t="s">
        <v>114</v>
      </c>
      <c r="B54" s="111" t="str">
        <f>VLOOKUP(T_Index_FB,Trans_Core!A2:H7,3,FALSE)</f>
        <v>E13/7/4</v>
      </c>
      <c r="C54" s="92"/>
      <c r="D54" s="92"/>
      <c r="H54" s="92"/>
      <c r="L54" s="92"/>
      <c r="M54" s="93"/>
    </row>
    <row r="55" spans="1:13" x14ac:dyDescent="0.25">
      <c r="A55" s="92" t="s">
        <v>84</v>
      </c>
      <c r="B55" s="111">
        <f>VLOOKUP(T_Index_FBB,Trans_Core!A2:H7,6,FALSE)</f>
        <v>29.7</v>
      </c>
      <c r="C55" s="92" t="s">
        <v>90</v>
      </c>
      <c r="D55" s="92"/>
      <c r="E55" s="92" t="s">
        <v>84</v>
      </c>
      <c r="F55" s="303">
        <v>29.7</v>
      </c>
      <c r="G55" s="92" t="s">
        <v>90</v>
      </c>
      <c r="H55" s="92"/>
      <c r="L55" s="92"/>
      <c r="M55" s="93"/>
    </row>
    <row r="56" spans="1:13" x14ac:dyDescent="0.25">
      <c r="A56" s="92" t="s">
        <v>85</v>
      </c>
      <c r="B56" s="96">
        <f>VLOOKUP(T_Index_FBB,Trans_Core!A2:H7,5,FALSE)</f>
        <v>12.4</v>
      </c>
      <c r="C56" s="92" t="s">
        <v>89</v>
      </c>
      <c r="D56" s="92"/>
      <c r="E56" s="92" t="s">
        <v>85</v>
      </c>
      <c r="F56" s="303">
        <v>12.4</v>
      </c>
      <c r="G56" s="92" t="s">
        <v>89</v>
      </c>
      <c r="H56" s="92"/>
      <c r="L56" s="92"/>
      <c r="M56" s="93"/>
    </row>
    <row r="57" spans="1:13" x14ac:dyDescent="0.25">
      <c r="A57" s="92" t="s">
        <v>86</v>
      </c>
      <c r="B57" s="111">
        <f>VLOOKUP(T_Index_FBB,Trans_Core!A2:H7,4,FALSE)</f>
        <v>369</v>
      </c>
      <c r="C57" s="92" t="s">
        <v>88</v>
      </c>
      <c r="D57" s="92"/>
      <c r="E57" s="92" t="s">
        <v>86</v>
      </c>
      <c r="F57" s="303">
        <v>369</v>
      </c>
      <c r="G57" s="92" t="s">
        <v>88</v>
      </c>
      <c r="H57" s="92"/>
      <c r="L57" s="92"/>
      <c r="M57" s="93"/>
    </row>
    <row r="58" spans="1:13" x14ac:dyDescent="0.25">
      <c r="A58" s="92" t="s">
        <v>176</v>
      </c>
      <c r="B58" s="111">
        <f>VLOOKUP(T_Index_FBB,Trans_Core!A2:H7,7,FALSE)</f>
        <v>10.4</v>
      </c>
      <c r="C58" s="92" t="s">
        <v>89</v>
      </c>
      <c r="D58" s="92"/>
      <c r="E58" s="92" t="s">
        <v>176</v>
      </c>
      <c r="F58" s="303">
        <v>10.4</v>
      </c>
      <c r="G58" s="92" t="s">
        <v>89</v>
      </c>
      <c r="H58" s="92"/>
      <c r="L58" s="92"/>
      <c r="M58" s="93"/>
    </row>
    <row r="59" spans="1:13" x14ac:dyDescent="0.25">
      <c r="A59" s="92" t="s">
        <v>234</v>
      </c>
      <c r="B59" s="111">
        <f>VLOOKUP(T_Index_FBB,Trans_Core!A2:H7,8,FALSE)</f>
        <v>29.6</v>
      </c>
      <c r="C59" s="92" t="s">
        <v>90</v>
      </c>
      <c r="D59" s="92"/>
      <c r="E59" s="92" t="s">
        <v>234</v>
      </c>
      <c r="F59" s="303">
        <v>29.6</v>
      </c>
      <c r="G59" s="92" t="s">
        <v>90</v>
      </c>
      <c r="H59" s="92"/>
      <c r="L59" s="92"/>
      <c r="M59" s="93"/>
    </row>
    <row r="60" spans="1:13" x14ac:dyDescent="0.25">
      <c r="D60" s="92"/>
      <c r="E60" s="92" t="s">
        <v>174</v>
      </c>
      <c r="F60" s="103">
        <f>((PermAir*Lm_FlyBB*(ILpeak_Max_FBB^2))/((Bmax_FBB^2)*(Ae_FBB/100)))*(10^4)*1000</f>
        <v>0.38900512887882976</v>
      </c>
      <c r="G60" s="92" t="s">
        <v>90</v>
      </c>
      <c r="H60" s="92"/>
      <c r="I60" s="92"/>
      <c r="J60" s="92"/>
      <c r="K60" s="92"/>
      <c r="L60" s="92"/>
      <c r="M60" s="93"/>
    </row>
    <row r="61" spans="1:13" x14ac:dyDescent="0.25">
      <c r="A61" s="311" t="s">
        <v>968</v>
      </c>
      <c r="B61" s="311"/>
      <c r="C61" s="311"/>
      <c r="D61" s="311"/>
      <c r="E61" s="311"/>
      <c r="F61" s="311"/>
      <c r="G61" s="311"/>
      <c r="H61" s="311"/>
      <c r="I61" s="311"/>
      <c r="J61" s="311"/>
      <c r="K61" s="311"/>
      <c r="L61" s="311"/>
      <c r="M61" s="333"/>
    </row>
    <row r="62" spans="1:13" x14ac:dyDescent="0.25">
      <c r="A62" s="99" t="s">
        <v>192</v>
      </c>
      <c r="B62" s="111"/>
      <c r="C62" s="92"/>
      <c r="J62" s="92"/>
      <c r="K62" s="92"/>
      <c r="L62" s="92"/>
      <c r="M62" s="93"/>
    </row>
    <row r="63" spans="1:13" x14ac:dyDescent="0.25">
      <c r="A63" s="91" t="s">
        <v>175</v>
      </c>
      <c r="B63" s="12">
        <f>CEILING(((Lm_FlyBB*ILpeak_Max_FBB)/(Bmax_FBB*(Ae_FBB/100)))*(10^4),1)</f>
        <v>61</v>
      </c>
      <c r="C63" s="92"/>
      <c r="D63" s="92"/>
      <c r="E63" s="111" t="s">
        <v>191</v>
      </c>
      <c r="F63" s="92"/>
      <c r="G63" s="309" t="s">
        <v>963</v>
      </c>
      <c r="H63" s="309"/>
      <c r="I63" s="309"/>
      <c r="J63" s="92"/>
      <c r="K63" s="92"/>
      <c r="L63" s="92"/>
      <c r="M63" s="93"/>
    </row>
    <row r="64" spans="1:13" x14ac:dyDescent="0.25">
      <c r="A64" s="91" t="s">
        <v>106</v>
      </c>
      <c r="B64" s="7">
        <v>32</v>
      </c>
      <c r="C64" s="92"/>
      <c r="D64" s="100" t="s">
        <v>190</v>
      </c>
      <c r="E64" s="101">
        <f>(Np_T_FBB*ILrms_Ipri_FBB)/(Np_T_FBB*ILrms_Total_Max_FBB)</f>
        <v>0.51151127511362793</v>
      </c>
      <c r="F64" s="92"/>
      <c r="G64" s="91" t="s">
        <v>193</v>
      </c>
      <c r="H64" s="98">
        <f>(aPri_FBB*Ku_FBB*(Wa_FBB/100))/Np_T_FBB</f>
        <v>8.3120582205964541E-4</v>
      </c>
      <c r="I64" s="92" t="s">
        <v>200</v>
      </c>
      <c r="J64" s="92"/>
      <c r="K64" s="92"/>
      <c r="L64" s="92"/>
      <c r="M64" s="93"/>
    </row>
    <row r="65" spans="1:56" x14ac:dyDescent="0.25">
      <c r="A65" s="91" t="s">
        <v>107</v>
      </c>
      <c r="B65" s="12">
        <f>ROUND((Ns1_FlyBB/Np)*Np_T_FBB,0)</f>
        <v>19</v>
      </c>
      <c r="C65" s="92"/>
      <c r="D65" s="100" t="s">
        <v>184</v>
      </c>
      <c r="E65" s="101">
        <f>(NVout1_T_FBB*ILrms_VOUT1_FBB)/(Np_T_FBB*ILrms_Total_Max_FBB)</f>
        <v>0.24621407504353438</v>
      </c>
      <c r="F65" s="92"/>
      <c r="G65" s="91" t="s">
        <v>194</v>
      </c>
      <c r="H65" s="98">
        <f>IF(NVout1_T_FBB&lt;&gt;0,(a1_FBB*Ku_FBB*(Wa_FBB/100))/NVout1_T_FBB,0)</f>
        <v>6.7384904748756783E-4</v>
      </c>
      <c r="I65" s="92" t="s">
        <v>200</v>
      </c>
      <c r="J65" s="92"/>
      <c r="K65" s="92"/>
      <c r="L65" s="92"/>
      <c r="M65" s="93"/>
    </row>
    <row r="66" spans="1:56" x14ac:dyDescent="0.25">
      <c r="A66" s="91" t="s">
        <v>108</v>
      </c>
      <c r="B66" s="12">
        <f>ROUND((Ns2_FlyBB/Np)*Np_T_FBB,0)</f>
        <v>19</v>
      </c>
      <c r="C66" s="92"/>
      <c r="D66" s="100" t="s">
        <v>185</v>
      </c>
      <c r="E66" s="101">
        <f>(NVout2_T_FBB*ILrms_VOUT2_FBB)/(Np_T_FBB*ILrms_Total_Max_FBB)</f>
        <v>0.24621407504353438</v>
      </c>
      <c r="F66" s="92"/>
      <c r="G66" s="91" t="s">
        <v>195</v>
      </c>
      <c r="H66" s="98">
        <f>IF(NVout2_T_FBB&lt;&gt;0,(a2_FBB*Ku_FBB*(Wa_FBB/100))/NVout2_T_FBB,0)</f>
        <v>6.7384904748756783E-4</v>
      </c>
      <c r="I66" s="92" t="s">
        <v>200</v>
      </c>
      <c r="J66" s="92"/>
      <c r="K66" s="92"/>
      <c r="L66" s="92"/>
      <c r="M66" s="93"/>
    </row>
    <row r="67" spans="1:56" x14ac:dyDescent="0.25">
      <c r="A67" s="91" t="s">
        <v>109</v>
      </c>
      <c r="B67" s="12">
        <f>ROUND((Ns3_FlyBB/Np)*Np_T_FBB,0)</f>
        <v>0</v>
      </c>
      <c r="C67" s="92"/>
      <c r="D67" s="100" t="s">
        <v>186</v>
      </c>
      <c r="E67" s="101">
        <f>(NVout3_T_FBB*ILrms_VOUT3_FBB)/(Np_T_FBB*ILrms_Total_Max_FBB)</f>
        <v>0</v>
      </c>
      <c r="F67" s="92"/>
      <c r="G67" s="91" t="s">
        <v>196</v>
      </c>
      <c r="H67" s="98">
        <f>IF(NVout3_T_FBB&lt;&gt;0,(a3_FBB*Ku_FBB*(Wa_FBB/100))/NVout3_T_FBB,0)</f>
        <v>0</v>
      </c>
      <c r="I67" s="92" t="s">
        <v>200</v>
      </c>
      <c r="J67" s="92"/>
      <c r="K67" s="92"/>
      <c r="L67" s="92"/>
      <c r="M67" s="93"/>
    </row>
    <row r="68" spans="1:56" x14ac:dyDescent="0.25">
      <c r="A68" s="91" t="s">
        <v>110</v>
      </c>
      <c r="B68" s="12">
        <f>ROUND((Ns4_FlyBB/Np)*Np_T_FBB,0)</f>
        <v>0</v>
      </c>
      <c r="C68" s="92"/>
      <c r="D68" s="100" t="s">
        <v>187</v>
      </c>
      <c r="E68" s="101">
        <f>(NVout4_T_FBB*ILrms_VOUT4_FBB)/(Np_T_FBB*ILrms_Total_Max_FBB)</f>
        <v>0</v>
      </c>
      <c r="F68" s="92"/>
      <c r="G68" s="91" t="s">
        <v>197</v>
      </c>
      <c r="H68" s="98">
        <f>IF(NVout4_T_FBB&lt;&gt;0,(a4_FBB*Ku_FBB*(Wa_FBB/100))/NVout4_T_FBB,0)</f>
        <v>0</v>
      </c>
      <c r="I68" s="92" t="s">
        <v>200</v>
      </c>
      <c r="J68" s="92"/>
      <c r="K68" s="92"/>
      <c r="L68" s="92"/>
      <c r="M68" s="93"/>
    </row>
    <row r="69" spans="1:56" x14ac:dyDescent="0.25">
      <c r="A69" s="91" t="s">
        <v>111</v>
      </c>
      <c r="B69" s="12">
        <f>ROUND((Ns5_FlyBB/Np)*Np_T_FBB,0)</f>
        <v>0</v>
      </c>
      <c r="C69" s="92"/>
      <c r="D69" s="100" t="s">
        <v>188</v>
      </c>
      <c r="E69" s="101">
        <f>(NVout5_T_FBB*ILrms_VOUT5_FBB)/(Np_T_FBB*ILrms_Total_Max_FBB)</f>
        <v>0</v>
      </c>
      <c r="F69" s="92"/>
      <c r="G69" s="91" t="s">
        <v>198</v>
      </c>
      <c r="H69" s="98">
        <f>IF(NVout5_T_FBB&lt;&gt;0,(a5_FBB*Ku_FBB*(Wa_FBB/100))/NVout5_T_FBB,0)</f>
        <v>0</v>
      </c>
      <c r="I69" s="92" t="s">
        <v>200</v>
      </c>
      <c r="J69" s="92"/>
      <c r="K69" s="92"/>
      <c r="L69" s="92"/>
      <c r="M69" s="93"/>
    </row>
    <row r="70" spans="1:56" ht="15.75" thickBot="1" x14ac:dyDescent="0.3">
      <c r="A70" s="91" t="s">
        <v>112</v>
      </c>
      <c r="B70" s="12">
        <f>ROUND((Ns6_FlyBB/Np)*Np_T_FBB,0)</f>
        <v>0</v>
      </c>
      <c r="C70" s="92"/>
      <c r="D70" s="100" t="s">
        <v>189</v>
      </c>
      <c r="E70" s="101">
        <f>(NVout6_T_FBB*ILrms_VOUT6_FBB)/(Np_T_FBB*ILrms_Total_Max_FBB)</f>
        <v>0</v>
      </c>
      <c r="F70" s="92"/>
      <c r="G70" s="104" t="s">
        <v>199</v>
      </c>
      <c r="H70" s="136">
        <f>IF(NVout6_T_FBB&lt;&gt;0,(a6_FBB*Ku_FBB*(Wa_FBB/100))/NVout6_T_FBB,0)</f>
        <v>0</v>
      </c>
      <c r="I70" s="106" t="s">
        <v>200</v>
      </c>
      <c r="J70" s="92"/>
      <c r="K70" s="92"/>
      <c r="L70" s="92"/>
      <c r="M70" s="93"/>
    </row>
    <row r="71" spans="1:56" x14ac:dyDescent="0.25">
      <c r="A71" s="332" t="s">
        <v>964</v>
      </c>
      <c r="B71" s="332"/>
      <c r="C71" s="92"/>
      <c r="D71" s="92" t="s">
        <v>26</v>
      </c>
      <c r="F71" s="92"/>
      <c r="G71" s="92" t="s">
        <v>283</v>
      </c>
      <c r="H71" s="92"/>
      <c r="I71" s="309" t="s">
        <v>965</v>
      </c>
      <c r="J71" s="309"/>
      <c r="K71" s="309"/>
      <c r="L71" s="309" t="s">
        <v>966</v>
      </c>
      <c r="M71" s="309"/>
      <c r="N71" s="309"/>
    </row>
    <row r="72" spans="1:56" x14ac:dyDescent="0.25">
      <c r="B72" s="92">
        <f>IF(AwPri_FBB&lt;&gt;0,IF(VLOOKUP(AwPri_FBB,Trans_Core!X2:Z24,1,TRUE)&lt;AwPri_FBB,VLOOKUP(AwPri_FBB,Trans_Core!X2:Z24,2,TRUE)-1,VLOOKUP(AwPri_FBB,Trans_Core!X2:Z24,1,TRUE)),0)</f>
        <v>27</v>
      </c>
      <c r="C72" t="s">
        <v>201</v>
      </c>
      <c r="D72" s="92">
        <v>29</v>
      </c>
      <c r="E72" s="92" t="s">
        <v>201</v>
      </c>
      <c r="G72" s="98">
        <f>IF(AwPri_FBB&lt;&gt;0,VLOOKUP(AWG_FBB,Trans_Core!AC2:AD26,2,TRUE),0)</f>
        <v>6.4700000000000001E-4</v>
      </c>
      <c r="H72" s="92" t="s">
        <v>200</v>
      </c>
      <c r="I72" s="92" t="s">
        <v>237</v>
      </c>
      <c r="J72" s="103">
        <f>IF(AwPri_FBB&lt;&gt;0,pcu_100C*((MLT_FBB/10)*Np_T_FBB)/G72,0)</f>
        <v>0.33671715610510039</v>
      </c>
      <c r="K72" s="100" t="s">
        <v>254</v>
      </c>
      <c r="L72" s="92" t="s">
        <v>247</v>
      </c>
      <c r="M72" s="93">
        <f>IF((G72/2)&lt;dSkin,RdcPri_FBB,(G72/dSkin)*RdcPri_FBB)</f>
        <v>0.33671715610510039</v>
      </c>
      <c r="N72" s="100" t="s">
        <v>254</v>
      </c>
    </row>
    <row r="73" spans="1:56" x14ac:dyDescent="0.25">
      <c r="B73" s="92">
        <f>IF(Aw1_FBB&lt;&gt;0,IF(VLOOKUP(Aw1_FBB,Trans_Core!X2:Z24,1,TRUE)&lt;Aw1_FBB,VLOOKUP(Aw1_FBB,Trans_Core!X2:Z24,2,TRUE)-1,VLOOKUP(Aw1_FBB,Trans_Core!X2:Z24,1,TRUE)),0)</f>
        <v>28</v>
      </c>
      <c r="C73" t="s">
        <v>201</v>
      </c>
      <c r="D73" s="92">
        <v>31</v>
      </c>
      <c r="E73" s="92" t="s">
        <v>201</v>
      </c>
      <c r="G73" s="98">
        <f>IF(Aw1_FBB&lt;&gt;0,VLOOKUP(AWG1_FBB,Trans_Core!AC2:AD26,2,TRUE),0)</f>
        <v>4.0132000000000004E-4</v>
      </c>
      <c r="H73" s="92" t="s">
        <v>200</v>
      </c>
      <c r="I73" s="92" t="s">
        <v>238</v>
      </c>
      <c r="J73" s="103">
        <f>IF(Aw1_FBB&lt;&gt;0,pcu_100C*((MLT_FBB/10)*NVout1_T_FBB)/G73,0)</f>
        <v>0.32231635602511705</v>
      </c>
      <c r="K73" s="100" t="s">
        <v>254</v>
      </c>
      <c r="L73" s="92" t="s">
        <v>248</v>
      </c>
      <c r="M73" s="93">
        <f>IF((G73/2)&lt;dSkin,Rdc1_FBB,(G73/dSkin)*Rdc1_FBB)</f>
        <v>0.32231635602511705</v>
      </c>
      <c r="N73" s="100" t="s">
        <v>254</v>
      </c>
    </row>
    <row r="74" spans="1:56" x14ac:dyDescent="0.25">
      <c r="B74" s="92">
        <f>IF(Aw2_FBB&lt;&gt;0,IF(VLOOKUP(Aw2_FBB,Trans_Core!X2:Z24,1,TRUE)&lt;Aw2_FBB,VLOOKUP(Aw2_FBB,Trans_Core!X2:Z24,2,TRUE)-1,VLOOKUP(Aw2_FBB,Trans_Core!X2:Z24,1,TRUE)),0)</f>
        <v>28</v>
      </c>
      <c r="C74" t="s">
        <v>201</v>
      </c>
      <c r="D74" s="92">
        <v>31</v>
      </c>
      <c r="E74" s="92" t="s">
        <v>201</v>
      </c>
      <c r="G74" s="98">
        <f>IF(Aw2_FBB&lt;&gt;0,VLOOKUP(AWG2_FBB,Trans_Core!AC2:AD26,2,TRUE),0)</f>
        <v>4.0132000000000004E-4</v>
      </c>
      <c r="H74" s="92" t="s">
        <v>200</v>
      </c>
      <c r="I74" s="92" t="s">
        <v>239</v>
      </c>
      <c r="J74" s="103">
        <f>IF(Aw2_FBB&lt;&gt;0,pcu_100C*((MLT_FBB/10)*NVout2_T_FBB)/G74,0)</f>
        <v>0.32231635602511705</v>
      </c>
      <c r="K74" s="100" t="s">
        <v>254</v>
      </c>
      <c r="L74" s="92" t="s">
        <v>249</v>
      </c>
      <c r="M74" s="93">
        <f>IF((G74/2)&lt;dSkin,Rdc2_FBB,(G74/dSkin)*Rdc2_FBB)</f>
        <v>0.32231635602511705</v>
      </c>
      <c r="N74" s="100" t="s">
        <v>254</v>
      </c>
    </row>
    <row r="75" spans="1:56" x14ac:dyDescent="0.25">
      <c r="B75" s="92">
        <f>IF(Aw3_FBB&lt;&gt;0,IF(VLOOKUP(Aw3_FBB,Trans_Core!X2:Z24,1,TRUE)&lt;Aw3_FBB,VLOOKUP(Aw3_FBB,Trans_Core!X2:Z24,2,TRUE)-1,VLOOKUP(Aw3_FBB,Trans_Core!X2:Z24,1,TRUE)),0)</f>
        <v>0</v>
      </c>
      <c r="C75" t="s">
        <v>201</v>
      </c>
      <c r="D75" s="92">
        <v>0</v>
      </c>
      <c r="E75" s="92" t="s">
        <v>201</v>
      </c>
      <c r="G75" s="92">
        <f>IF(Aw3_FBB&lt;&gt;0,VLOOKUP(AWG3_FBB,Trans_Core!AC2:AD26,2,TRUE),0)</f>
        <v>0</v>
      </c>
      <c r="H75" s="92" t="s">
        <v>200</v>
      </c>
      <c r="I75" s="92" t="s">
        <v>240</v>
      </c>
      <c r="J75" s="92">
        <f>IF(Aw3_FBB&lt;&gt;0,pcu_100C*((MLT_FBB/10)*NVout3_T_FBB)/G75,0)</f>
        <v>0</v>
      </c>
      <c r="K75" s="100" t="s">
        <v>254</v>
      </c>
      <c r="L75" s="92" t="s">
        <v>250</v>
      </c>
      <c r="M75" s="93">
        <f>IF((G75/2)&lt;dSkin,Rdc3_FBB,(G75/dSkin)*Rdc3_FBB)</f>
        <v>0</v>
      </c>
      <c r="N75" s="100" t="s">
        <v>254</v>
      </c>
    </row>
    <row r="76" spans="1:56" x14ac:dyDescent="0.25">
      <c r="B76" s="92">
        <f>IF(Aw4_FBB&lt;&gt;0,IF(VLOOKUP(Aw4_FBB,Trans_Core!X2:Z24,1,TRUE)&lt;Aw4_FBB,VLOOKUP(Aw4_FBB,Trans_Core!X2:Z24,2,TRUE)-1,VLOOKUP(Aw4_FBB,Trans_Core!X2:Z24,1,TRUE)),0)</f>
        <v>0</v>
      </c>
      <c r="C76" t="s">
        <v>201</v>
      </c>
      <c r="D76" s="92">
        <v>0</v>
      </c>
      <c r="E76" s="92" t="s">
        <v>201</v>
      </c>
      <c r="G76" s="92">
        <f>IF(Aw4_FBB&lt;&gt;0,VLOOKUP(AWG4_FBB,Trans_Core!AC2:AD26,2,TRUE),0)</f>
        <v>0</v>
      </c>
      <c r="H76" s="92" t="s">
        <v>200</v>
      </c>
      <c r="I76" s="92" t="s">
        <v>241</v>
      </c>
      <c r="J76" s="92">
        <f>IF(Aw4_FBB&lt;&gt;0,pcu_100C*((MLT_FBB/10)*NVout4_T_FBB)/G76,0)</f>
        <v>0</v>
      </c>
      <c r="K76" s="100" t="s">
        <v>254</v>
      </c>
      <c r="L76" s="92" t="s">
        <v>251</v>
      </c>
      <c r="M76" s="93">
        <f>IF((G76/2)&lt;dSkin,Rdc4_FBB,(G76/dSkin)*Rdc4_FBB)</f>
        <v>0</v>
      </c>
      <c r="N76" s="100" t="s">
        <v>254</v>
      </c>
    </row>
    <row r="77" spans="1:56" x14ac:dyDescent="0.25">
      <c r="B77" s="92">
        <f>IF(Aw5_FBB&lt;&gt;0,IF(VLOOKUP(Aw5_FBB,Trans_Core!X2:Z24,1,TRUE)&lt;Aw5_FBB,VLOOKUP(Aw5_FBB,Trans_Core!X2:Z24,2,TRUE)-1,VLOOKUP(Aw5_FBB,Trans_Core!X2:Z24,1,TRUE)),0)</f>
        <v>0</v>
      </c>
      <c r="C77" t="s">
        <v>201</v>
      </c>
      <c r="D77" s="92">
        <v>0</v>
      </c>
      <c r="E77" s="92" t="s">
        <v>201</v>
      </c>
      <c r="G77" s="92">
        <f>IF(Aw5_FBB&lt;&gt;0,VLOOKUP(AWG5_FBB,Trans_Core!AC2:AD26,2,TRUE),0)</f>
        <v>0</v>
      </c>
      <c r="H77" s="92" t="s">
        <v>200</v>
      </c>
      <c r="I77" s="92" t="s">
        <v>242</v>
      </c>
      <c r="J77" s="92">
        <f>IF(Aw5_FBB&lt;&gt;0,pcu_100C*((MLT_FBB/10)*NVout5_T_FBB)/G77,0)</f>
        <v>0</v>
      </c>
      <c r="K77" s="100" t="s">
        <v>254</v>
      </c>
      <c r="L77" s="92" t="s">
        <v>252</v>
      </c>
      <c r="M77" s="93">
        <f>IF((G77/2)&lt;dSkin,Rdc5_FBB,(G77/dSkin)*Rdc5_FBB)</f>
        <v>0</v>
      </c>
      <c r="N77" s="100" t="s">
        <v>254</v>
      </c>
    </row>
    <row r="78" spans="1:56" ht="15.75" thickBot="1" x14ac:dyDescent="0.3">
      <c r="B78" s="106">
        <f>IF(Aw6_FBB&lt;&gt;0,IF(VLOOKUP(Aw6_FBB,Trans_Core!X2:Z24,1,TRUE)&lt;Aw6_FBB,VLOOKUP(Aw6_FBB,Trans_Core!X2:Z24,2,TRUE)-1,VLOOKUP(Aw6_FBB,Trans_Core!X2:Z24,1,TRUE)),0)</f>
        <v>0</v>
      </c>
      <c r="C78" t="s">
        <v>201</v>
      </c>
      <c r="D78" s="106">
        <v>0</v>
      </c>
      <c r="E78" s="106" t="s">
        <v>201</v>
      </c>
      <c r="G78" s="106">
        <f>IF(Aw6_FBB&lt;&gt;0,VLOOKUP(AWG6_FBB,Trans_Core!AC2:AD26,2,TRUE),0)</f>
        <v>0</v>
      </c>
      <c r="H78" s="106" t="s">
        <v>200</v>
      </c>
      <c r="I78" s="106" t="s">
        <v>243</v>
      </c>
      <c r="J78" s="106">
        <f>IF(Aw6_FBB&lt;&gt;0,pcu_100C*((MLT_FBB/10)*NVout6_T_FBB)/G78,0)</f>
        <v>0</v>
      </c>
      <c r="K78" s="107" t="s">
        <v>254</v>
      </c>
      <c r="L78" s="106" t="s">
        <v>253</v>
      </c>
      <c r="M78" s="108">
        <f>IF((G78/2)&lt;dSkin,Rdc6_FBB,(G78/dSkin)*Rdc6_FBB)</f>
        <v>0</v>
      </c>
      <c r="N78" s="107" t="s">
        <v>254</v>
      </c>
    </row>
    <row r="79" spans="1:56" s="330" customFormat="1" ht="15.75" thickBot="1" x14ac:dyDescent="0.3">
      <c r="A79" s="329" t="s">
        <v>281</v>
      </c>
      <c r="B79" s="329"/>
      <c r="C79" s="329"/>
      <c r="D79" s="329"/>
      <c r="E79" s="329"/>
      <c r="F79" s="329"/>
      <c r="G79" s="329"/>
      <c r="H79" s="329"/>
      <c r="I79" s="329"/>
      <c r="J79" s="329"/>
      <c r="K79" s="329"/>
      <c r="L79" s="329"/>
      <c r="M79" s="329"/>
      <c r="N79" s="329"/>
      <c r="O79" s="329"/>
      <c r="P79" s="329"/>
      <c r="Q79" s="329"/>
      <c r="R79" s="329"/>
      <c r="S79" s="329"/>
      <c r="T79" s="329"/>
      <c r="U79" s="329"/>
      <c r="V79" s="329"/>
      <c r="W79" s="329"/>
      <c r="X79" s="329"/>
      <c r="Y79" s="329"/>
      <c r="Z79" s="329"/>
      <c r="AA79" s="329"/>
      <c r="AB79" s="329"/>
      <c r="AC79" s="329"/>
      <c r="AD79" s="329"/>
      <c r="AE79" s="329"/>
      <c r="AF79" s="329"/>
      <c r="AG79" s="329"/>
      <c r="AH79" s="329"/>
      <c r="AI79" s="329"/>
      <c r="AJ79" s="329"/>
      <c r="AK79" s="329"/>
      <c r="AL79" s="329"/>
      <c r="AM79" s="329"/>
      <c r="AN79" s="329"/>
      <c r="AO79" s="329"/>
      <c r="AP79" s="329"/>
      <c r="AQ79" s="329"/>
      <c r="AR79" s="329"/>
      <c r="AS79" s="329"/>
      <c r="AT79" s="329"/>
      <c r="AU79" s="329"/>
      <c r="AV79" s="329"/>
      <c r="AW79" s="329"/>
      <c r="AX79" s="329"/>
      <c r="AY79" s="329"/>
      <c r="AZ79" s="329"/>
      <c r="BA79" s="329"/>
      <c r="BB79" s="329"/>
      <c r="BC79" s="329"/>
      <c r="BD79" s="329"/>
    </row>
    <row r="80" spans="1:56" s="330" customFormat="1" x14ac:dyDescent="0.25">
      <c r="A80" s="329"/>
      <c r="B80" s="329"/>
      <c r="C80" s="329"/>
      <c r="D80" s="329"/>
      <c r="E80" s="329"/>
      <c r="F80" s="329"/>
      <c r="G80" s="329"/>
      <c r="H80" s="329"/>
      <c r="I80" s="329"/>
      <c r="J80" s="329"/>
      <c r="K80" s="329"/>
      <c r="L80" s="329"/>
      <c r="M80" s="329"/>
      <c r="N80" s="329"/>
      <c r="O80" s="329"/>
      <c r="P80" s="329"/>
      <c r="Q80" s="329"/>
      <c r="R80" s="329"/>
      <c r="S80" s="329"/>
      <c r="T80" s="329"/>
      <c r="U80" s="329"/>
      <c r="V80" s="329"/>
      <c r="W80" s="329"/>
      <c r="X80" s="329"/>
      <c r="Y80" s="329"/>
      <c r="Z80" s="329"/>
      <c r="AA80" s="329"/>
      <c r="AB80" s="329"/>
      <c r="AC80" s="329"/>
      <c r="AD80" s="329"/>
      <c r="AE80" s="329"/>
      <c r="AF80" s="329"/>
      <c r="AG80" s="329"/>
      <c r="AH80" s="329"/>
      <c r="AI80" s="329"/>
      <c r="AJ80" s="329"/>
      <c r="AK80" s="329"/>
      <c r="AL80" s="329"/>
      <c r="AM80" s="329"/>
      <c r="AN80" s="329"/>
      <c r="AO80" s="329"/>
      <c r="AP80" s="329"/>
      <c r="AQ80" s="329"/>
      <c r="AR80" s="329"/>
      <c r="AS80" s="329"/>
      <c r="AT80" s="329"/>
      <c r="AU80" s="329"/>
      <c r="AV80" s="329"/>
      <c r="AW80" s="329"/>
      <c r="AX80" s="329"/>
      <c r="AY80" s="329"/>
      <c r="AZ80" s="329"/>
      <c r="BA80" s="329"/>
      <c r="BB80" s="329"/>
      <c r="BC80" s="329"/>
      <c r="BD80" s="329"/>
    </row>
    <row r="81" spans="1:13" x14ac:dyDescent="0.25">
      <c r="A81" s="91" t="s">
        <v>255</v>
      </c>
      <c r="B81" s="92">
        <f>SQRT(pcu_100C/(PI()*PermAir*Fsw))</f>
        <v>1.3935527808966574E-3</v>
      </c>
      <c r="C81" s="92" t="s">
        <v>256</v>
      </c>
      <c r="D81" s="92"/>
      <c r="E81" s="92" t="s">
        <v>271</v>
      </c>
      <c r="F81" s="92"/>
      <c r="G81" s="92"/>
      <c r="H81" s="92"/>
      <c r="I81" s="92"/>
      <c r="J81" s="92"/>
      <c r="K81" s="92"/>
      <c r="L81" s="92"/>
      <c r="M81" s="93"/>
    </row>
    <row r="82" spans="1:13" x14ac:dyDescent="0.25">
      <c r="A82" s="91"/>
      <c r="B82" s="92"/>
      <c r="C82" s="92"/>
      <c r="D82" s="92"/>
      <c r="E82" s="92">
        <f>MATCH(Kg_Flyback,Trans_Core!B2:B7,-1)</f>
        <v>4</v>
      </c>
      <c r="F82" s="92"/>
      <c r="G82" s="92"/>
      <c r="H82" s="92"/>
      <c r="I82" s="92"/>
      <c r="J82" s="92"/>
      <c r="K82" s="92"/>
      <c r="L82" s="92"/>
      <c r="M82" s="93"/>
    </row>
    <row r="83" spans="1:13" x14ac:dyDescent="0.25">
      <c r="A83" s="91"/>
      <c r="B83" s="92"/>
      <c r="C83" s="92"/>
      <c r="D83" s="92"/>
      <c r="E83" s="92"/>
      <c r="F83" s="92"/>
      <c r="G83" s="92"/>
      <c r="H83" s="92"/>
      <c r="I83" s="92"/>
      <c r="J83" s="92"/>
      <c r="K83" s="92"/>
      <c r="L83" s="92"/>
      <c r="M83" s="93"/>
    </row>
    <row r="84" spans="1:13" x14ac:dyDescent="0.25">
      <c r="A84" s="91" t="s">
        <v>66</v>
      </c>
      <c r="B84" s="92"/>
      <c r="C84" s="92"/>
      <c r="D84" s="92"/>
      <c r="E84" s="309" t="s">
        <v>165</v>
      </c>
      <c r="F84" s="309"/>
      <c r="G84" s="94"/>
      <c r="H84" s="94"/>
      <c r="I84" s="94"/>
      <c r="J84" s="92"/>
      <c r="K84" s="92"/>
      <c r="L84" s="92"/>
      <c r="M84" s="93"/>
    </row>
    <row r="85" spans="1:13" x14ac:dyDescent="0.25">
      <c r="A85" s="91" t="s">
        <v>24</v>
      </c>
      <c r="B85" s="12">
        <f>Pout_Flyback</f>
        <v>6</v>
      </c>
      <c r="C85" s="92" t="s">
        <v>91</v>
      </c>
      <c r="D85" s="92"/>
      <c r="E85" s="92" t="s">
        <v>114</v>
      </c>
      <c r="F85" s="95" t="str">
        <f>VLOOKUP(T_Index_Flyback_CCM,Trans_Core!A2:H7,3,FALSE)</f>
        <v>E13/7/4</v>
      </c>
      <c r="G85" s="92"/>
      <c r="H85" s="92"/>
      <c r="I85" s="92"/>
      <c r="J85" s="92"/>
      <c r="K85" s="92"/>
      <c r="L85" s="92"/>
      <c r="M85" s="93"/>
    </row>
    <row r="86" spans="1:13" x14ac:dyDescent="0.25">
      <c r="A86" s="91" t="s">
        <v>149</v>
      </c>
      <c r="B86" s="7">
        <v>0.5</v>
      </c>
      <c r="C86" s="92"/>
      <c r="D86" s="92"/>
      <c r="E86" s="92" t="s">
        <v>84</v>
      </c>
      <c r="F86" s="95">
        <f>VLOOKUP(T_Index_Flyback_CCM,Trans_Core!A2:H7,6,FALSE)</f>
        <v>29.7</v>
      </c>
      <c r="G86" s="92" t="s">
        <v>90</v>
      </c>
      <c r="H86" s="92"/>
      <c r="I86" s="92"/>
      <c r="J86" s="92"/>
      <c r="K86" s="92"/>
      <c r="L86" s="92"/>
      <c r="M86" s="93"/>
    </row>
    <row r="87" spans="1:13" x14ac:dyDescent="0.25">
      <c r="A87" s="91" t="s">
        <v>151</v>
      </c>
      <c r="B87" s="7">
        <v>1.5</v>
      </c>
      <c r="C87" s="92" t="s">
        <v>91</v>
      </c>
      <c r="D87" s="92"/>
      <c r="E87" s="92" t="s">
        <v>85</v>
      </c>
      <c r="F87" s="96">
        <f>VLOOKUP(T_Index_Flyback_CCM,Trans_Core!A2:H7,5,FALSE)</f>
        <v>12.4</v>
      </c>
      <c r="G87" s="92" t="s">
        <v>89</v>
      </c>
      <c r="H87" s="92"/>
      <c r="I87" s="92"/>
      <c r="J87" s="92"/>
      <c r="K87" s="92"/>
      <c r="L87" s="92"/>
      <c r="M87" s="93"/>
    </row>
    <row r="88" spans="1:13" x14ac:dyDescent="0.25">
      <c r="A88" s="91" t="s">
        <v>87</v>
      </c>
      <c r="B88" s="7">
        <v>0.25</v>
      </c>
      <c r="C88" s="92" t="s">
        <v>157</v>
      </c>
      <c r="D88" s="92"/>
      <c r="E88" s="92" t="s">
        <v>86</v>
      </c>
      <c r="F88" s="95">
        <f>VLOOKUP(T_Index_Flyback_CCM,Trans_Core!A2:H7,4,FALSE)</f>
        <v>369</v>
      </c>
      <c r="G88" s="92" t="s">
        <v>88</v>
      </c>
      <c r="H88" s="92"/>
      <c r="I88" s="92"/>
      <c r="J88" s="92"/>
      <c r="K88" s="92"/>
      <c r="L88" s="92"/>
      <c r="M88" s="93"/>
    </row>
    <row r="89" spans="1:13" x14ac:dyDescent="0.25">
      <c r="A89" s="91" t="s">
        <v>152</v>
      </c>
      <c r="B89" s="39">
        <f>(pcu*(Lm_Flyback_CCM^2)*(ILrms_Total_Max_FB_CCM^2)*(ILpeak_Max_FlyB_CCM^2)*(10^8))/((Bmax_Flyback^2)*Pcu_Loss_Flyback_CCM*Ku_FlyBack)</f>
        <v>2.5279767652304963E-4</v>
      </c>
      <c r="C89" s="92" t="s">
        <v>158</v>
      </c>
      <c r="D89" s="92"/>
      <c r="E89" s="92" t="s">
        <v>176</v>
      </c>
      <c r="F89" s="95">
        <f>VLOOKUP(T_Index_Flyback_CCM,Trans_Core!A2:H7,7,FALSE)</f>
        <v>10.4</v>
      </c>
      <c r="G89" s="92" t="s">
        <v>89</v>
      </c>
      <c r="H89" s="92"/>
      <c r="I89" s="92"/>
      <c r="J89" s="92"/>
      <c r="K89" s="92"/>
      <c r="L89" s="92"/>
      <c r="M89" s="93"/>
    </row>
    <row r="90" spans="1:13" x14ac:dyDescent="0.25">
      <c r="A90" s="91"/>
      <c r="B90" s="92"/>
      <c r="C90" s="92"/>
      <c r="D90" s="92"/>
      <c r="E90" s="92" t="s">
        <v>234</v>
      </c>
      <c r="F90" s="95">
        <f>VLOOKUP(T_Index_Flyback_CCM,Trans_Core!A2:H7,8,FALSE)</f>
        <v>29.6</v>
      </c>
      <c r="G90" s="92" t="s">
        <v>90</v>
      </c>
      <c r="H90" s="92"/>
      <c r="I90" s="92"/>
      <c r="J90" s="92"/>
      <c r="K90" s="92"/>
      <c r="L90" s="92"/>
      <c r="M90" s="93"/>
    </row>
    <row r="91" spans="1:13" x14ac:dyDescent="0.25">
      <c r="A91" s="91" t="s">
        <v>84</v>
      </c>
      <c r="B91" s="7">
        <v>37.6</v>
      </c>
      <c r="C91" s="92" t="s">
        <v>90</v>
      </c>
      <c r="D91" s="92"/>
      <c r="E91" s="92"/>
      <c r="F91" s="92"/>
      <c r="G91" s="92"/>
      <c r="H91" s="92"/>
      <c r="I91" s="92"/>
      <c r="J91" s="92"/>
      <c r="K91" s="92"/>
      <c r="L91" s="92"/>
      <c r="M91" s="93"/>
    </row>
    <row r="92" spans="1:13" x14ac:dyDescent="0.25">
      <c r="A92" s="91" t="s">
        <v>85</v>
      </c>
      <c r="B92" s="7">
        <v>20.100000000000001</v>
      </c>
      <c r="C92" s="92" t="s">
        <v>89</v>
      </c>
      <c r="D92" s="92"/>
      <c r="E92" s="97"/>
      <c r="F92" s="92"/>
      <c r="G92" s="92"/>
      <c r="H92" s="92"/>
      <c r="I92" s="92"/>
      <c r="J92" s="92"/>
      <c r="K92" s="92"/>
      <c r="L92" s="92"/>
      <c r="M92" s="93"/>
    </row>
    <row r="93" spans="1:13" x14ac:dyDescent="0.25">
      <c r="A93" s="91" t="s">
        <v>86</v>
      </c>
      <c r="B93" s="7">
        <v>750</v>
      </c>
      <c r="C93" s="92" t="s">
        <v>88</v>
      </c>
      <c r="D93" s="92"/>
      <c r="E93" s="98"/>
      <c r="F93" s="92">
        <f>57.7*109</f>
        <v>6289.3</v>
      </c>
      <c r="G93" s="92"/>
      <c r="H93" s="92"/>
      <c r="I93" s="92"/>
      <c r="J93" s="92"/>
      <c r="K93" s="92"/>
      <c r="L93" s="92"/>
      <c r="M93" s="93"/>
    </row>
    <row r="94" spans="1:13" x14ac:dyDescent="0.25">
      <c r="A94" s="91" t="s">
        <v>176</v>
      </c>
      <c r="B94" s="7">
        <v>16.5</v>
      </c>
      <c r="C94" s="92" t="s">
        <v>89</v>
      </c>
      <c r="D94" s="92"/>
      <c r="E94" s="92"/>
      <c r="F94" s="92"/>
      <c r="G94" s="92"/>
      <c r="H94" s="92"/>
      <c r="I94" s="92"/>
      <c r="J94" s="92"/>
      <c r="K94" s="92"/>
      <c r="L94" s="92"/>
      <c r="M94" s="93"/>
    </row>
    <row r="95" spans="1:13" x14ac:dyDescent="0.25">
      <c r="A95" s="91" t="s">
        <v>234</v>
      </c>
      <c r="B95" s="7">
        <v>33</v>
      </c>
      <c r="C95" s="92" t="s">
        <v>90</v>
      </c>
      <c r="D95" s="92"/>
      <c r="E95" s="92"/>
      <c r="F95" s="92"/>
      <c r="G95" s="92"/>
      <c r="H95" s="92"/>
      <c r="I95" s="92"/>
      <c r="J95" s="92"/>
      <c r="K95" s="92"/>
      <c r="L95" s="92"/>
      <c r="M95" s="93"/>
    </row>
    <row r="96" spans="1:13" x14ac:dyDescent="0.25">
      <c r="A96" s="91" t="s">
        <v>174</v>
      </c>
      <c r="B96" s="21">
        <f>((PermAir*Lm_Flyback_CCM*(ILpeak_Max_FlyB_CCM^2))/((Bmax_Flyback^2)*(Ae_Flyback_CCM/100)))*(10^4)*1000</f>
        <v>0.2007897039753381</v>
      </c>
      <c r="C96" s="92" t="s">
        <v>90</v>
      </c>
      <c r="D96" s="92"/>
      <c r="E96" s="92"/>
      <c r="F96" s="92"/>
      <c r="G96" s="92"/>
      <c r="H96" s="92"/>
      <c r="I96" s="92"/>
      <c r="J96" s="92"/>
      <c r="K96" s="92"/>
      <c r="L96" s="92"/>
      <c r="M96" s="93"/>
    </row>
    <row r="97" spans="1:13" x14ac:dyDescent="0.25">
      <c r="A97" s="99" t="s">
        <v>192</v>
      </c>
      <c r="B97" s="95"/>
      <c r="C97" s="92"/>
      <c r="D97" s="92"/>
      <c r="E97" s="95" t="s">
        <v>191</v>
      </c>
      <c r="F97" s="92"/>
      <c r="G97" s="92"/>
      <c r="H97" s="92"/>
      <c r="I97" s="92"/>
      <c r="J97" s="92"/>
      <c r="K97" s="92"/>
      <c r="L97" s="92"/>
      <c r="M97" s="93"/>
    </row>
    <row r="98" spans="1:13" x14ac:dyDescent="0.25">
      <c r="A98" s="91" t="s">
        <v>175</v>
      </c>
      <c r="B98" s="12">
        <f>CEILING(((Lm_Flyback_CCM*ILpeak_Max_FlyB_CCM)/(Bmax_Flyback*(Ae_Flyback_CCM/100)))*(10^4),1)</f>
        <v>26</v>
      </c>
      <c r="C98" s="92"/>
      <c r="D98" s="92"/>
      <c r="E98" s="92"/>
      <c r="F98" s="92"/>
      <c r="G98" s="92"/>
      <c r="H98" s="92"/>
      <c r="I98" s="92"/>
      <c r="J98" s="92"/>
      <c r="K98" s="92"/>
      <c r="L98" s="92"/>
      <c r="M98" s="93"/>
    </row>
    <row r="99" spans="1:13" x14ac:dyDescent="0.25">
      <c r="A99" s="91" t="s">
        <v>106</v>
      </c>
      <c r="B99" s="7">
        <v>23</v>
      </c>
      <c r="C99" s="92"/>
      <c r="D99" s="100" t="s">
        <v>190</v>
      </c>
      <c r="E99" s="103">
        <f>(Np_T_Flyback_CCM*ILrms_Ipri_FlyB_CCM)/(Np_T_Flyback_CCM*ILrms_Total_Max_FB_CCM)</f>
        <v>0.50984944773941632</v>
      </c>
      <c r="F99" s="92"/>
      <c r="G99" s="101"/>
      <c r="H99" s="92"/>
      <c r="I99" s="92"/>
      <c r="J99" s="92"/>
      <c r="K99" s="92"/>
      <c r="L99" s="92"/>
      <c r="M99" s="93"/>
    </row>
    <row r="100" spans="1:13" x14ac:dyDescent="0.25">
      <c r="A100" s="91" t="s">
        <v>107</v>
      </c>
      <c r="B100" s="12">
        <f>ROUND((Ns1_Flyback/Np)*Np_T_Flyback_CCM,0)</f>
        <v>14</v>
      </c>
      <c r="C100" s="92"/>
      <c r="D100" s="100" t="s">
        <v>184</v>
      </c>
      <c r="E100" s="103">
        <f>(NVout1_T_Flyback_CCM*ILrms_IVOUT1_FlyB_CCM)/(Np_T_Flyback_CCM*ILrms_Total_Max_FB_CCM)</f>
        <v>0.21009160465472854</v>
      </c>
      <c r="F100" s="92"/>
      <c r="G100" s="92"/>
      <c r="H100" s="92"/>
      <c r="I100" s="92"/>
      <c r="J100" s="92"/>
      <c r="K100" s="92"/>
      <c r="L100" s="92"/>
      <c r="M100" s="93"/>
    </row>
    <row r="101" spans="1:13" x14ac:dyDescent="0.25">
      <c r="A101" s="91" t="s">
        <v>108</v>
      </c>
      <c r="B101" s="12">
        <f>ROUND((Ns2_Flyback/Np)*Np_T_Flyback_CCM,0)</f>
        <v>14</v>
      </c>
      <c r="C101" s="92"/>
      <c r="D101" s="100" t="s">
        <v>185</v>
      </c>
      <c r="E101" s="103">
        <f>(NVout2_T_Flyback_CCM*ILrms_IVOUT2_FlyB_CCM)/(Np_T_Flyback_CCM*ILrms_Total_Max_FB_CCM)</f>
        <v>0.21009160465472854</v>
      </c>
      <c r="F101" s="92"/>
      <c r="G101" s="92"/>
      <c r="H101" s="92"/>
      <c r="I101" s="92"/>
      <c r="J101" s="92"/>
      <c r="K101" s="92"/>
      <c r="L101" s="92"/>
      <c r="M101" s="93"/>
    </row>
    <row r="102" spans="1:13" x14ac:dyDescent="0.25">
      <c r="A102" s="91" t="s">
        <v>109</v>
      </c>
      <c r="B102" s="12">
        <f>ROUND((Ns3_Flyback/Np)*Np_T_Flyback_CCM,0)</f>
        <v>0</v>
      </c>
      <c r="C102" s="92"/>
      <c r="D102" s="100" t="s">
        <v>186</v>
      </c>
      <c r="E102" s="103">
        <f>(NVout3_T_Flyback_CCM*ILrms_IVOUT3_FlyB_CCM)/(Np_T_Flyback_CCM*ILrms_Total_Max_FB_CCM)</f>
        <v>0</v>
      </c>
      <c r="F102" s="92"/>
      <c r="G102" s="92"/>
      <c r="H102" s="92"/>
      <c r="I102" s="92"/>
      <c r="J102" s="92"/>
      <c r="K102" s="92"/>
      <c r="L102" s="92"/>
      <c r="M102" s="93"/>
    </row>
    <row r="103" spans="1:13" x14ac:dyDescent="0.25">
      <c r="A103" s="91" t="s">
        <v>110</v>
      </c>
      <c r="B103" s="12">
        <f>ROUND((Ns4_Flyback/Np)*Np_T_Flyback_CCM,0)</f>
        <v>0</v>
      </c>
      <c r="C103" s="92"/>
      <c r="D103" s="100" t="s">
        <v>187</v>
      </c>
      <c r="E103" s="103">
        <f>(NVout4_T_Flyback_CCM*ILrms_IVOUT4_FlyB_CCM)/(Np_T_Flyback_CCM*ILrms_Total_Max_FB_CCM)</f>
        <v>0</v>
      </c>
      <c r="F103" s="92"/>
      <c r="G103" s="92"/>
      <c r="H103" s="92"/>
      <c r="I103" s="92"/>
      <c r="J103" s="92"/>
      <c r="K103" s="92"/>
      <c r="L103" s="92"/>
      <c r="M103" s="93"/>
    </row>
    <row r="104" spans="1:13" x14ac:dyDescent="0.25">
      <c r="A104" s="91" t="s">
        <v>111</v>
      </c>
      <c r="B104" s="12">
        <f>ROUND((Ns5_Flyback/Np)*Np_T_Flyback_CCM,0)</f>
        <v>0</v>
      </c>
      <c r="C104" s="92"/>
      <c r="D104" s="100" t="s">
        <v>188</v>
      </c>
      <c r="E104" s="103">
        <f>(NVout5_T_Flyback_CCM*ILrms_IVOUT5_FlyB_CCM)/(Np_T_Flyback_CCM*ILrms_Total_Max_FB_CCM)</f>
        <v>0</v>
      </c>
      <c r="F104" s="92"/>
      <c r="G104" s="92"/>
      <c r="H104" s="92"/>
      <c r="I104" s="92"/>
      <c r="J104" s="92"/>
      <c r="K104" s="92"/>
      <c r="L104" s="92"/>
      <c r="M104" s="93"/>
    </row>
    <row r="105" spans="1:13" x14ac:dyDescent="0.25">
      <c r="A105" s="91" t="s">
        <v>112</v>
      </c>
      <c r="B105" s="12">
        <f>ROUND((Ns6_Flyback/Np)*Np_T_Flyback_CCM,0)</f>
        <v>0</v>
      </c>
      <c r="C105" s="92"/>
      <c r="D105" s="100" t="s">
        <v>189</v>
      </c>
      <c r="E105" s="103">
        <f>(NVout6_T_Flyback_CCM*ILrms_IVOUT6_FlyB_CCM)/(Np_T_Flyback_CCM*ILrms_Total_Max_FB_CCM)</f>
        <v>0</v>
      </c>
      <c r="F105" s="92"/>
      <c r="G105" s="92"/>
      <c r="H105" s="92"/>
      <c r="I105" s="92"/>
      <c r="J105" s="92"/>
      <c r="K105" s="92"/>
      <c r="L105" s="92"/>
      <c r="M105" s="93"/>
    </row>
    <row r="106" spans="1:13" x14ac:dyDescent="0.25">
      <c r="A106" s="175" t="s">
        <v>407</v>
      </c>
      <c r="B106" s="12">
        <f>ROUND((NsAux_Flyback/Np)*Np_T_Flyback_CCM,0)</f>
        <v>27</v>
      </c>
      <c r="D106" s="100" t="s">
        <v>420</v>
      </c>
      <c r="E106" s="10">
        <f>(NVAUX_T_Flyback_CCM*ILrms_IVAUX_FlyB_CCM)/(Np_T_Flyback_CCM*ILrms_Total_Max_FB_CCM)</f>
        <v>8.2502955321789889E-2</v>
      </c>
    </row>
    <row r="107" spans="1:13" x14ac:dyDescent="0.25">
      <c r="A107" s="91"/>
      <c r="B107" s="92"/>
      <c r="C107" s="92"/>
      <c r="D107" s="100" t="s">
        <v>274</v>
      </c>
      <c r="E107" s="92" t="s">
        <v>26</v>
      </c>
      <c r="F107" s="92"/>
      <c r="G107" s="92" t="s">
        <v>283</v>
      </c>
      <c r="H107" s="92"/>
      <c r="I107" s="92"/>
      <c r="J107" s="92"/>
      <c r="K107" s="92"/>
      <c r="L107" s="92"/>
      <c r="M107" s="93"/>
    </row>
    <row r="108" spans="1:13" x14ac:dyDescent="0.25">
      <c r="A108" s="91" t="s">
        <v>193</v>
      </c>
      <c r="B108" s="102">
        <f>(aPri_FlyB_CCM*Ku_FlyBack*(Wa_Flyback_CCM/100))/Np_T_Flyback_CCM</f>
        <v>1.8288078016739935E-3</v>
      </c>
      <c r="C108" s="92" t="s">
        <v>200</v>
      </c>
      <c r="D108" s="92">
        <f>IF(AwPri_FlyB_CCM&lt;&gt;0,IF(VLOOKUP(AwPri_FlyB_CCM,Trans_Core!X2:Z24,1,TRUE)&lt;AwPri_FlyB_CCM,VLOOKUP(AwPri_FlyB_CCM,Trans_Core!X2:Z24,2,TRUE)-1,VLOOKUP(AwPri_FlyB_CCM,Trans_Core!X2:Z24,1,TRUE)),0)</f>
        <v>24</v>
      </c>
      <c r="E108" s="92">
        <v>25</v>
      </c>
      <c r="F108" s="92" t="s">
        <v>201</v>
      </c>
      <c r="G108" s="98">
        <f>IF(AwPri_FlyB_CCM&lt;&gt;0,VLOOKUP(AWG_Flyback_CCM,Trans_Core!AC2:AD26,2,TRUE),0)</f>
        <v>1.6230000000000001E-3</v>
      </c>
      <c r="H108" s="92" t="s">
        <v>200</v>
      </c>
      <c r="I108" s="92" t="s">
        <v>237</v>
      </c>
      <c r="J108" s="103">
        <f>IF(AwPri_FlyB_CCM&lt;&gt;0,pcu_100C*((MLT_Flyback_CCM/10)*Np_T_Flyback_CCM)/G108,0)</f>
        <v>0.10756007393715339</v>
      </c>
      <c r="K108" s="100" t="s">
        <v>254</v>
      </c>
      <c r="L108" s="92" t="s">
        <v>247</v>
      </c>
      <c r="M108" s="118">
        <f>IF((G108/2)&lt;dSkin,RdcPri_Flyback_CCM,(G108/dSkin)*RdcPri_Flyback_CCM)</f>
        <v>0.10756007393715339</v>
      </c>
    </row>
    <row r="109" spans="1:13" x14ac:dyDescent="0.25">
      <c r="A109" s="91" t="s">
        <v>194</v>
      </c>
      <c r="B109" s="102">
        <f>IF(NVout1_T_Flyback_CCM&lt;&gt;0,(a1_FlyB_CCM*Ku_FlyBack*(Wa_Flyback_CCM/100))/NVout1_T_Flyback_CCM,0)</f>
        <v>1.2380398131439361E-3</v>
      </c>
      <c r="C109" s="92" t="s">
        <v>200</v>
      </c>
      <c r="D109" s="92">
        <f>IF(Aw1_FlyB_CCM&lt;&gt;0,IF(VLOOKUP(Aw1_FlyB_CCM,Trans_Core!X2:Z24,1,TRUE)&lt;Aw1_FlyB_CCM,VLOOKUP(Aw1_FlyB_CCM,Trans_Core!X2:Z24,2,TRUE)-1,VLOOKUP(Aw1_FlyB_CCM,Trans_Core!X2:Z24,1,TRUE)),0)</f>
        <v>26</v>
      </c>
      <c r="E109" s="92">
        <v>29</v>
      </c>
      <c r="F109" s="92" t="s">
        <v>201</v>
      </c>
      <c r="G109" s="98">
        <f>IF(Aw1_FlyB_CCM&lt;&gt;0,VLOOKUP(AWG1_Flyback_CCM,Trans_Core!AC2:AD26,2,TRUE),0)</f>
        <v>6.4700000000000001E-4</v>
      </c>
      <c r="H109" s="92" t="s">
        <v>200</v>
      </c>
      <c r="I109" s="92" t="s">
        <v>238</v>
      </c>
      <c r="J109" s="103">
        <f>IF(Aw1_FlyB_CCM&lt;&gt;0,pcu_100C*((MLT_Flyback_CCM/10)*NVout1_T_Flyback_CCM)/G109,0)</f>
        <v>0.16423493044822252</v>
      </c>
      <c r="K109" s="100" t="s">
        <v>254</v>
      </c>
      <c r="L109" s="92" t="s">
        <v>248</v>
      </c>
      <c r="M109" s="118">
        <f>IF((G109/2)&lt;dSkin,Rdc1_Flyback_CCM,(G109/dSkin)*Rdc1_Flyback_CCM)</f>
        <v>0.16423493044822252</v>
      </c>
    </row>
    <row r="110" spans="1:13" x14ac:dyDescent="0.25">
      <c r="A110" s="91" t="s">
        <v>195</v>
      </c>
      <c r="B110" s="102">
        <f>IF(NVout2_T_Flyback_CCM&lt;&gt;0,(a2_FlyB_CCM*Ku_FlyBack*(Wa_Flyback_CCM/100))/NVout2_T_Flyback_CCM,0)</f>
        <v>1.2380398131439361E-3</v>
      </c>
      <c r="C110" s="92" t="s">
        <v>200</v>
      </c>
      <c r="D110" s="92">
        <f>IF(Aw2_FlyB_CCM&lt;&gt;0,IF(VLOOKUP(Aw2_FlyB_CCM,Trans_Core!X2:Z24,1,TRUE)&lt;Aw2_FlyB_CCM,VLOOKUP(Aw2_FlyB_CCM,Trans_Core!X2:Z24,2,TRUE)-1,VLOOKUP(Aw2_FlyB_CCM,Trans_Core!X2:Z24,1,TRUE)),0)</f>
        <v>26</v>
      </c>
      <c r="E110" s="92">
        <v>29</v>
      </c>
      <c r="F110" s="92" t="s">
        <v>201</v>
      </c>
      <c r="G110" s="98">
        <f>IF(Aw2_FlyB_CCM&lt;&gt;0,VLOOKUP(AWG2_Flyback_CCM,Trans_Core!AC2:AD26,2,TRUE),0)</f>
        <v>6.4700000000000001E-4</v>
      </c>
      <c r="H110" s="92" t="s">
        <v>200</v>
      </c>
      <c r="I110" s="92" t="s">
        <v>239</v>
      </c>
      <c r="J110" s="103">
        <f>IF(Aw2_FlyB_CCM&lt;&gt;0,pcu_100C*((MLT_Flyback_CCM/10)*NVout2_T_Flyback_CCM)/G109,0)</f>
        <v>0.16423493044822252</v>
      </c>
      <c r="K110" s="100" t="s">
        <v>254</v>
      </c>
      <c r="L110" s="92" t="s">
        <v>249</v>
      </c>
      <c r="M110" s="118">
        <f>IF((G110/2)&lt;dSkin,Rdc2_Flyback_CCM,(G110/dSkin)*Rdc2_Flyback_CCM)</f>
        <v>0.16423493044822252</v>
      </c>
    </row>
    <row r="111" spans="1:13" x14ac:dyDescent="0.25">
      <c r="A111" s="91" t="s">
        <v>196</v>
      </c>
      <c r="B111" s="102">
        <f>IF(NVout3_T_Flyback_CCM&lt;&gt;0,(a3_FlyB_CCM*Ku_FlyBack*(Wa_Flyback_CCM/100))/NVout3_T_Flyback_CCM,0)</f>
        <v>0</v>
      </c>
      <c r="C111" s="92" t="s">
        <v>200</v>
      </c>
      <c r="D111" s="92">
        <f>IF(Aw3_FlyB_CCM&lt;&gt;0,IF(VLOOKUP(Aw3_FlyB_CCM,Trans_Core!X2:Z24,1,TRUE)&lt;Aw3_FlyB_CCM,VLOOKUP(Aw3_FlyB_CCM,Trans_Core!X2:Z24,2,TRUE)-1,VLOOKUP(Aw3_FlyB_CCM,Trans_Core!X2:Z24,1,TRUE)),0)</f>
        <v>0</v>
      </c>
      <c r="E111" s="92">
        <v>0</v>
      </c>
      <c r="F111" s="92" t="s">
        <v>201</v>
      </c>
      <c r="G111" s="92">
        <f>IF(Aw3_FlyB_CCM&lt;&gt;0,VLOOKUP(AWG3_Flyback_CCM,Trans_Core!AC2:AD26,2,TRUE),0)</f>
        <v>0</v>
      </c>
      <c r="H111" s="92" t="s">
        <v>200</v>
      </c>
      <c r="I111" s="92" t="s">
        <v>240</v>
      </c>
      <c r="J111" s="92">
        <f>IF(Aw3_FlyB_CCM&lt;&gt;0,pcu_100C*((MLT_Flyback_CCM/10)*NVout3_T_Flyback_CCM)/G109,0)</f>
        <v>0</v>
      </c>
      <c r="K111" s="100" t="s">
        <v>254</v>
      </c>
      <c r="L111" s="92" t="s">
        <v>250</v>
      </c>
      <c r="M111" s="93">
        <f>IF((G111/2)&lt;dSkin,Rdc3_Flyback_CCM,(G111/dSkin)*Rdc3_Flyback_CCM)</f>
        <v>0</v>
      </c>
    </row>
    <row r="112" spans="1:13" x14ac:dyDescent="0.25">
      <c r="A112" s="91" t="s">
        <v>197</v>
      </c>
      <c r="B112" s="102">
        <f>IF(NVout4_T_Flyback_CCM&lt;&gt;0,(a4_FlyB_CCM*Ku_FlyBack*(Wa_Flyback_CCM/100))/NVout4_T_Flyback_CCM,0)</f>
        <v>0</v>
      </c>
      <c r="C112" s="92" t="s">
        <v>200</v>
      </c>
      <c r="D112" s="92">
        <f>IF(Aw4_FlyB_CCM&lt;&gt;0,IF(VLOOKUP(Aw4_FlyB_CCM,Trans_Core!X2:Z24,1,TRUE)&lt;Aw4_FlyB_CCM,VLOOKUP(Aw4_FlyB_CCM,Trans_Core!X2:Z24,2,TRUE)-1,VLOOKUP(Aw4_FlyB_CCM,Trans_Core!X2:Z24,1,TRUE)),0)</f>
        <v>0</v>
      </c>
      <c r="E112" s="92">
        <f>IF(Aw4_FlyB_CCM&lt;&gt;0,IF(VLOOKUP(Aw4_FlyB_CCM,Trans_Core!X2:Z24,1,TRUE)&lt;Aw4_FlyB_CCM,VLOOKUP(Aw4_FlyB_CCM,Trans_Core!X2:Z24,2,TRUE)-1,VLOOKUP(Aw4_FlyB_CCM,Trans_Core!X2:Z24,1,TRUE)),0)</f>
        <v>0</v>
      </c>
      <c r="F112" s="92" t="s">
        <v>201</v>
      </c>
      <c r="G112" s="92">
        <f>IF(Aw4_FlyB_CCM&lt;&gt;0,VLOOKUP(AWG4_Flyback_CCM,Trans_Core!AC2:AD26,2,TRUE),0)</f>
        <v>0</v>
      </c>
      <c r="H112" s="92" t="s">
        <v>200</v>
      </c>
      <c r="I112" s="92" t="s">
        <v>241</v>
      </c>
      <c r="J112" s="92">
        <f>IF(Aw4_FlyB_CCM&lt;&gt;0,pcu_100C*((MLT_Flyback_CCM/10)*NVout4_T_Flyback_CCM)/G109,0)</f>
        <v>0</v>
      </c>
      <c r="K112" s="100" t="s">
        <v>254</v>
      </c>
      <c r="L112" s="92" t="s">
        <v>251</v>
      </c>
      <c r="M112" s="93">
        <f>IF((G112/2)&lt;dSkin,Rdc4_Flyback_CCM,(G112/dSkin)*Rdc4_Flyback_CCM)</f>
        <v>0</v>
      </c>
    </row>
    <row r="113" spans="1:56" x14ac:dyDescent="0.25">
      <c r="A113" s="91" t="s">
        <v>198</v>
      </c>
      <c r="B113" s="102">
        <f>IF(NVout5_T_Flyback_CCM&lt;&gt;0,(a5_FlyB_CCM*Ku_FlyBack*(Wa_Flyback_CCM/100))/NVout5_T_Flyback_CCM,0)</f>
        <v>0</v>
      </c>
      <c r="C113" s="92" t="s">
        <v>200</v>
      </c>
      <c r="D113" s="92">
        <f>IF(Aw5_FlyB_CCM&lt;&gt;0,IF(VLOOKUP(Aw5_FlyB_CCM,Trans_Core!X2:Z24,1,TRUE)&lt;Aw5_FlyB_CCM,VLOOKUP(Aw5_FlyB_CCM,Trans_Core!X2:Z24,2,TRUE)-1,VLOOKUP(Aw5_FlyB_CCM,Trans_Core!X2:Z24,1,TRUE)),0)</f>
        <v>0</v>
      </c>
      <c r="E113" s="92">
        <f>IF(Aw5_FlyB_CCM&lt;&gt;0,IF(VLOOKUP(Aw5_FlyB_CCM,Trans_Core!X2:Z24,1,TRUE)&lt;Aw5_FlyB_CCM,VLOOKUP(Aw5_FlyB_CCM,Trans_Core!X2:Z24,2,TRUE)-1,VLOOKUP(Aw5_FlyB_CCM,Trans_Core!X2:Z24,1,TRUE)),0)</f>
        <v>0</v>
      </c>
      <c r="F113" s="92" t="s">
        <v>201</v>
      </c>
      <c r="G113" s="92">
        <f>IF(Aw5_FlyB_CCM&lt;&gt;0,VLOOKUP(AWG5_Flyback_CCM,Trans_Core!AC2:AD26,2,TRUE),0)</f>
        <v>0</v>
      </c>
      <c r="H113" s="92" t="s">
        <v>200</v>
      </c>
      <c r="I113" s="92" t="s">
        <v>242</v>
      </c>
      <c r="J113" s="92">
        <f>IF(Aw5_FlyB_CCM&lt;&gt;0,pcu_100C*((MLT_Flyback_CCM/10)*NVout5_T_Flyback_CCM)/G109,0)</f>
        <v>0</v>
      </c>
      <c r="K113" s="100" t="s">
        <v>254</v>
      </c>
      <c r="L113" s="92" t="s">
        <v>252</v>
      </c>
      <c r="M113" s="93">
        <f>IF((G113/2)&lt;dSkin,Rdc5_Flyback_CCM,(G113/dSkin)*Rdc5_Flyback_CCM)</f>
        <v>0</v>
      </c>
    </row>
    <row r="114" spans="1:56" ht="15.75" thickBot="1" x14ac:dyDescent="0.3">
      <c r="A114" s="104" t="s">
        <v>199</v>
      </c>
      <c r="B114" s="105">
        <f>IF(NVout6_T_Flyback_CCM&lt;&gt;0,(a6_FlyB_CCM*Ku_FlyBack*(Wa_Flyback_CCM/100))/NVout6_T_Flyback_CCM,0)</f>
        <v>0</v>
      </c>
      <c r="C114" s="106" t="s">
        <v>200</v>
      </c>
      <c r="D114" s="106">
        <f>IF(Aw6_FlyB_CCM&lt;&gt;0,IF(VLOOKUP(Aw6_FlyB_CCM,Trans_Core!X2:Z24,1,TRUE)&lt;Aw6_FlyB_CCM,VLOOKUP(Aw6_FlyB_CCM,Trans_Core!X2:Z24,2,TRUE)-1,VLOOKUP(Aw6_FlyB_CCM,Trans_Core!X2:Z24,1,TRUE)),0)</f>
        <v>0</v>
      </c>
      <c r="E114" s="106">
        <f>IF(Aw6_FlyB_CCM&lt;&gt;0,IF(VLOOKUP(Aw6_FlyB_CCM,Trans_Core!X2:Z24,1,TRUE)&lt;Aw6_FlyB_CCM,VLOOKUP(Aw6_FlyB_CCM,Trans_Core!X2:Z24,2,TRUE)-1,VLOOKUP(Aw6_FlyB_CCM,Trans_Core!X2:Z24,1,TRUE)),0)</f>
        <v>0</v>
      </c>
      <c r="F114" s="106" t="s">
        <v>201</v>
      </c>
      <c r="G114" s="106">
        <f>IF(Aw6_FlyB_CCM&lt;&gt;0,VLOOKUP(AWG6_Flyback_CCM,Trans_Core!AC2:AD26,2,TRUE),0)</f>
        <v>0</v>
      </c>
      <c r="H114" s="106" t="s">
        <v>200</v>
      </c>
      <c r="I114" s="106" t="s">
        <v>243</v>
      </c>
      <c r="J114" s="106">
        <f>IF(Aw6_FlyB_CCM&lt;&gt;0,pcu_100C*((MLT_Flyback_CCM/10)*NVout6_T_Flyback_CCM)/G109,0)</f>
        <v>0</v>
      </c>
      <c r="K114" s="107" t="s">
        <v>254</v>
      </c>
      <c r="L114" s="106" t="s">
        <v>253</v>
      </c>
      <c r="M114" s="108">
        <f>IF((G114/2)&lt;dSkin,Rdc6_Flyback_CCM,(G114/dSkin)*Rdc6_Flyback_CCM)</f>
        <v>0</v>
      </c>
    </row>
    <row r="115" spans="1:56" ht="15.75" thickBot="1" x14ac:dyDescent="0.3">
      <c r="A115" s="104" t="s">
        <v>421</v>
      </c>
      <c r="B115" s="105">
        <f>IF(NVAUX_T_Flyback_CCM&lt;&gt;0,(aAUX_FlyB_CCM*Ku_FlyBack*(Wa_Flyback_CCM/100))/NVAUX_T_Flyback_CCM,0)</f>
        <v>2.520923634832469E-4</v>
      </c>
      <c r="C115" s="106" t="s">
        <v>200</v>
      </c>
      <c r="D115" s="106" t="e">
        <f>IF(AwAUX_FlyB_CCM&lt;&gt;0,IF(VLOOKUP(AwAUX_FlyB_CCM,Trans_Core!X3:Z25,1,TRUE)&lt;AwAUX_FlyB_CCM,VLOOKUP(AwAUX_FlyB_CCM,Trans_Core!X3:Z25,2,TRUE)-1,VLOOKUP(AwAUX_FlyB_CCM,Trans_Core!X3:Z25,1,TRUE)),0)</f>
        <v>#N/A</v>
      </c>
      <c r="E115" s="106">
        <v>29</v>
      </c>
      <c r="F115" s="106" t="s">
        <v>201</v>
      </c>
      <c r="G115" s="106">
        <f>IF(AwAUX_FlyB_CCM&lt;&gt;0,VLOOKUP(AWGAUX_Flyback_CCM,Trans_Core!AC3:AD27,2,TRUE),0)</f>
        <v>6.4700000000000001E-4</v>
      </c>
      <c r="H115" s="106" t="s">
        <v>200</v>
      </c>
      <c r="I115" s="106" t="s">
        <v>243</v>
      </c>
      <c r="J115" s="120">
        <f>IF(AwAUX_FlyB_CCM&lt;&gt;0,pcu_100C*((MLT_Flyback_CCM/10)*NVAUX_T_Flyback_CCM)/G110,0)</f>
        <v>0.31673879443585773</v>
      </c>
      <c r="K115" s="107" t="s">
        <v>254</v>
      </c>
      <c r="L115" s="106" t="s">
        <v>253</v>
      </c>
      <c r="M115" s="121">
        <f>IF((G115/2)&lt;dSkin,RdcAUX_Flyback_CCM,(G115/dSkin)*RdcAUX_Flyback_CCM)</f>
        <v>0.31673879443585773</v>
      </c>
    </row>
    <row r="116" spans="1:56" s="330" customFormat="1" ht="15.75" thickBot="1" x14ac:dyDescent="0.3">
      <c r="A116" s="329" t="s">
        <v>282</v>
      </c>
      <c r="B116" s="329"/>
      <c r="C116" s="329"/>
      <c r="D116" s="329"/>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329"/>
      <c r="AB116" s="329"/>
      <c r="AC116" s="329"/>
      <c r="AD116" s="329"/>
      <c r="AE116" s="329"/>
      <c r="AF116" s="329"/>
      <c r="AG116" s="329"/>
      <c r="AH116" s="329"/>
      <c r="AI116" s="329"/>
      <c r="AJ116" s="329"/>
      <c r="AK116" s="329"/>
      <c r="AL116" s="329"/>
      <c r="AM116" s="329"/>
      <c r="AN116" s="329"/>
      <c r="AO116" s="329"/>
      <c r="AP116" s="329"/>
      <c r="AQ116" s="329"/>
      <c r="AR116" s="329"/>
      <c r="AS116" s="329"/>
      <c r="AT116" s="329"/>
      <c r="AU116" s="329"/>
      <c r="AV116" s="329"/>
      <c r="AW116" s="329"/>
      <c r="AX116" s="329"/>
      <c r="AY116" s="329"/>
      <c r="AZ116" s="329"/>
      <c r="BA116" s="329"/>
      <c r="BB116" s="329"/>
      <c r="BC116" s="329"/>
      <c r="BD116" s="329"/>
    </row>
    <row r="117" spans="1:56" s="330" customFormat="1" x14ac:dyDescent="0.25">
      <c r="A117" s="329"/>
      <c r="B117" s="329"/>
      <c r="C117" s="329"/>
      <c r="D117" s="329"/>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29"/>
      <c r="AK117" s="329"/>
      <c r="AL117" s="329"/>
      <c r="AM117" s="329"/>
      <c r="AN117" s="329"/>
      <c r="AO117" s="329"/>
      <c r="AP117" s="329"/>
      <c r="AQ117" s="329"/>
      <c r="AR117" s="329"/>
      <c r="AS117" s="329"/>
      <c r="AT117" s="329"/>
      <c r="AU117" s="329"/>
      <c r="AV117" s="329"/>
      <c r="AW117" s="329"/>
      <c r="AX117" s="329"/>
      <c r="AY117" s="329"/>
      <c r="AZ117" s="329"/>
      <c r="BA117" s="329"/>
      <c r="BB117" s="329"/>
      <c r="BC117" s="329"/>
      <c r="BD117" s="329"/>
    </row>
    <row r="118" spans="1:56" x14ac:dyDescent="0.25">
      <c r="A118" s="91"/>
      <c r="B118" s="92"/>
      <c r="C118" s="92"/>
      <c r="D118" s="92"/>
      <c r="E118" s="92" t="s">
        <v>271</v>
      </c>
      <c r="F118" s="92"/>
      <c r="G118" s="92"/>
      <c r="H118" s="92"/>
      <c r="I118" s="92"/>
      <c r="J118" s="92"/>
      <c r="K118" s="92"/>
      <c r="L118" s="92"/>
      <c r="M118" s="93"/>
    </row>
    <row r="119" spans="1:56" x14ac:dyDescent="0.25">
      <c r="A119" s="91"/>
      <c r="B119" s="92"/>
      <c r="C119" s="92"/>
      <c r="D119" s="92"/>
      <c r="E119" s="92">
        <f>MATCH(Kg_Flyback_DCM,Trans_Core!B2:B7,-1)</f>
        <v>6</v>
      </c>
      <c r="F119" s="92"/>
      <c r="G119" s="92"/>
      <c r="H119" s="92"/>
      <c r="I119" s="92"/>
      <c r="J119" s="92"/>
      <c r="K119" s="92"/>
      <c r="L119" s="92"/>
      <c r="M119" s="93"/>
      <c r="P119" t="s">
        <v>458</v>
      </c>
    </row>
    <row r="120" spans="1:56" x14ac:dyDescent="0.25">
      <c r="A120" s="91"/>
      <c r="B120" s="92"/>
      <c r="C120" s="92"/>
      <c r="D120" s="92"/>
      <c r="E120" s="92"/>
      <c r="F120" s="92"/>
      <c r="G120" s="92"/>
      <c r="H120" s="92"/>
      <c r="I120" s="92"/>
      <c r="J120" s="92"/>
      <c r="K120" s="92"/>
      <c r="L120" s="92"/>
      <c r="M120" s="93"/>
      <c r="P120" t="s">
        <v>459</v>
      </c>
    </row>
    <row r="121" spans="1:56" x14ac:dyDescent="0.25">
      <c r="A121" s="91" t="s">
        <v>66</v>
      </c>
      <c r="B121" s="92"/>
      <c r="C121" s="92"/>
      <c r="D121" s="92"/>
      <c r="E121" s="309" t="s">
        <v>165</v>
      </c>
      <c r="F121" s="309"/>
      <c r="G121" s="94"/>
      <c r="H121" s="94"/>
      <c r="I121" s="94"/>
      <c r="J121" s="92"/>
      <c r="K121" s="92"/>
      <c r="L121" s="92"/>
      <c r="M121" s="93"/>
      <c r="P121" t="s">
        <v>460</v>
      </c>
    </row>
    <row r="122" spans="1:56" x14ac:dyDescent="0.25">
      <c r="A122" s="91" t="s">
        <v>24</v>
      </c>
      <c r="B122" s="12">
        <f>Pout_Flyback</f>
        <v>6</v>
      </c>
      <c r="C122" s="92" t="s">
        <v>91</v>
      </c>
      <c r="D122" s="92"/>
      <c r="E122" s="92" t="s">
        <v>114</v>
      </c>
      <c r="F122" s="111" t="str">
        <f>VLOOKUP(T_Index_Flyback_DCM,Trans_Core!A2:H7,3,FALSE)</f>
        <v>E5.3/2.7/2</v>
      </c>
      <c r="G122" s="92"/>
      <c r="H122" s="92"/>
      <c r="I122" s="92"/>
      <c r="J122" s="92"/>
      <c r="K122" s="92"/>
      <c r="L122" s="92"/>
      <c r="M122" s="93"/>
      <c r="P122" t="s">
        <v>461</v>
      </c>
    </row>
    <row r="123" spans="1:56" x14ac:dyDescent="0.25">
      <c r="A123" s="91" t="s">
        <v>149</v>
      </c>
      <c r="B123" s="7">
        <v>0.5</v>
      </c>
      <c r="C123" s="92"/>
      <c r="D123" s="92"/>
      <c r="E123" s="92" t="s">
        <v>84</v>
      </c>
      <c r="F123" s="111">
        <f>VLOOKUP(T_Index_Flyback_DCM,Trans_Core!A2:H7,6,FALSE)</f>
        <v>12.6</v>
      </c>
      <c r="G123" s="92" t="s">
        <v>90</v>
      </c>
      <c r="H123" s="92"/>
      <c r="I123" s="92"/>
      <c r="J123" s="92"/>
      <c r="K123" s="92"/>
      <c r="L123" s="92"/>
      <c r="M123" s="93"/>
    </row>
    <row r="124" spans="1:56" x14ac:dyDescent="0.25">
      <c r="A124" s="91" t="s">
        <v>151</v>
      </c>
      <c r="B124" s="7">
        <v>1.5</v>
      </c>
      <c r="C124" s="92" t="s">
        <v>91</v>
      </c>
      <c r="D124" s="92"/>
      <c r="E124" s="92" t="s">
        <v>85</v>
      </c>
      <c r="F124" s="96">
        <f>VLOOKUP(T_Index_Flyback_DCM,Trans_Core!A2:H7,5,FALSE)</f>
        <v>2.66</v>
      </c>
      <c r="G124" s="92" t="s">
        <v>89</v>
      </c>
      <c r="H124" s="92"/>
      <c r="I124" s="92"/>
      <c r="J124" s="92"/>
      <c r="K124" s="92"/>
      <c r="L124" s="92"/>
      <c r="M124" s="93"/>
    </row>
    <row r="125" spans="1:56" x14ac:dyDescent="0.25">
      <c r="A125" s="91" t="s">
        <v>87</v>
      </c>
      <c r="B125" s="7">
        <v>0.25</v>
      </c>
      <c r="C125" s="92" t="s">
        <v>157</v>
      </c>
      <c r="D125" s="92"/>
      <c r="E125" s="92" t="s">
        <v>86</v>
      </c>
      <c r="F125" s="111">
        <f>VLOOKUP(T_Index_Flyback_DCM,Trans_Core!A2:H7,4,FALSE)</f>
        <v>33.299999999999997</v>
      </c>
      <c r="G125" s="92" t="s">
        <v>88</v>
      </c>
      <c r="H125" s="92"/>
      <c r="I125" s="92"/>
      <c r="J125" s="92"/>
      <c r="K125" s="92"/>
      <c r="L125" s="92"/>
      <c r="M125" s="93"/>
    </row>
    <row r="126" spans="1:56" x14ac:dyDescent="0.25">
      <c r="A126" s="91" t="s">
        <v>152</v>
      </c>
      <c r="B126" s="39">
        <f>(pcu*(Lm_Flyback_DCM^2)*(ILrms_Total_Max_FB_DCM^2)*(ILpeak_Max_FlyB_DCM^2)*(10^8))/((Bmax_Flyback_DCM^2)*Pcu_Loss_Flyback_DCM*Ku_FlyBack_DCM)</f>
        <v>4.4217133084034841E-6</v>
      </c>
      <c r="C126" s="92" t="s">
        <v>158</v>
      </c>
      <c r="D126" s="92"/>
      <c r="E126" s="92" t="s">
        <v>176</v>
      </c>
      <c r="F126" s="111">
        <f>VLOOKUP(T_Index_Flyback_DCM,Trans_Core!A2:H7,7,FALSE)</f>
        <v>1.8</v>
      </c>
      <c r="G126" s="92" t="s">
        <v>89</v>
      </c>
      <c r="H126" s="92"/>
      <c r="I126" s="92"/>
      <c r="J126" s="92"/>
      <c r="K126" s="92"/>
      <c r="L126" s="92"/>
      <c r="M126" s="93"/>
    </row>
    <row r="127" spans="1:56" x14ac:dyDescent="0.25">
      <c r="A127" s="91"/>
      <c r="B127" s="92"/>
      <c r="C127" s="92"/>
      <c r="D127" s="92"/>
      <c r="E127" s="92" t="s">
        <v>234</v>
      </c>
      <c r="F127" s="111">
        <f>VLOOKUP(T_Index_Flyback_DCM,Trans_Core!A2:H7,8,FALSE)</f>
        <v>12.6</v>
      </c>
      <c r="G127" s="92" t="s">
        <v>90</v>
      </c>
      <c r="H127" s="92"/>
      <c r="I127" s="92"/>
      <c r="J127" s="92"/>
      <c r="K127" s="92"/>
      <c r="L127" s="92"/>
      <c r="M127" s="93"/>
    </row>
    <row r="128" spans="1:56" x14ac:dyDescent="0.25">
      <c r="A128" s="91" t="s">
        <v>84</v>
      </c>
      <c r="B128" s="7">
        <v>12.2</v>
      </c>
      <c r="C128" s="92" t="s">
        <v>90</v>
      </c>
      <c r="D128" s="92"/>
      <c r="E128" s="92"/>
      <c r="F128" s="92"/>
      <c r="G128" s="92"/>
      <c r="H128" s="92"/>
      <c r="I128" s="92" t="s">
        <v>244</v>
      </c>
      <c r="J128" s="92"/>
      <c r="K128" s="92"/>
      <c r="L128" s="92"/>
      <c r="M128" s="93"/>
    </row>
    <row r="129" spans="1:13" x14ac:dyDescent="0.25">
      <c r="A129" s="91" t="s">
        <v>85</v>
      </c>
      <c r="B129" s="7">
        <v>3.3</v>
      </c>
      <c r="C129" s="92" t="s">
        <v>89</v>
      </c>
      <c r="D129" s="92"/>
      <c r="E129" s="97"/>
      <c r="F129" s="92"/>
      <c r="G129" s="92"/>
      <c r="H129" s="92"/>
      <c r="I129" s="92"/>
      <c r="J129" s="92"/>
      <c r="K129" s="92"/>
      <c r="L129" s="92"/>
      <c r="M129" s="93"/>
    </row>
    <row r="130" spans="1:13" x14ac:dyDescent="0.25">
      <c r="A130" s="91" t="s">
        <v>86</v>
      </c>
      <c r="B130" s="7">
        <v>40.6</v>
      </c>
      <c r="C130" s="92" t="s">
        <v>88</v>
      </c>
      <c r="D130" s="92"/>
      <c r="E130" s="98"/>
      <c r="F130" s="92"/>
      <c r="G130" s="92"/>
      <c r="H130" s="92"/>
      <c r="I130" s="92"/>
      <c r="J130" s="92"/>
      <c r="K130" s="92"/>
      <c r="L130" s="92"/>
      <c r="M130" s="93"/>
    </row>
    <row r="131" spans="1:13" x14ac:dyDescent="0.25">
      <c r="A131" s="91" t="s">
        <v>176</v>
      </c>
      <c r="B131" s="7">
        <v>2.31</v>
      </c>
      <c r="C131" s="92" t="s">
        <v>89</v>
      </c>
      <c r="D131" s="92"/>
      <c r="E131" s="92"/>
      <c r="F131" s="92"/>
      <c r="G131" s="92"/>
      <c r="H131" s="92"/>
      <c r="I131" s="92"/>
      <c r="J131" s="92"/>
      <c r="K131" s="92"/>
      <c r="L131" s="92"/>
      <c r="M131" s="93"/>
    </row>
    <row r="132" spans="1:13" x14ac:dyDescent="0.25">
      <c r="A132" s="91" t="s">
        <v>234</v>
      </c>
      <c r="B132" s="7">
        <v>12.8</v>
      </c>
      <c r="C132" s="92" t="s">
        <v>90</v>
      </c>
      <c r="D132" s="92"/>
      <c r="E132" s="92"/>
      <c r="F132" s="92"/>
      <c r="G132" s="92"/>
      <c r="H132" s="92"/>
      <c r="I132" s="92"/>
      <c r="J132" s="92"/>
      <c r="K132" s="92"/>
      <c r="L132" s="92"/>
      <c r="M132" s="93"/>
    </row>
    <row r="133" spans="1:13" x14ac:dyDescent="0.25">
      <c r="A133" s="91" t="s">
        <v>174</v>
      </c>
      <c r="B133" s="21">
        <f>((PermAir*Lm_Flyback_DCM*(ILpeak_Max_FlyB_DCM^2))/((Bmax_Flyback_DCM^2)*(Ae_Flyback_DCM/100)))*(10^4)*1000</f>
        <v>0.27079047788518085</v>
      </c>
      <c r="C133" s="92" t="s">
        <v>90</v>
      </c>
      <c r="D133" s="92"/>
      <c r="E133" s="92"/>
      <c r="F133" s="92"/>
      <c r="G133" s="92"/>
      <c r="H133" s="92"/>
      <c r="I133" s="92"/>
      <c r="J133" s="92"/>
      <c r="K133" s="92"/>
      <c r="L133" s="92"/>
      <c r="M133" s="93"/>
    </row>
    <row r="134" spans="1:13" x14ac:dyDescent="0.25">
      <c r="A134" s="99" t="s">
        <v>192</v>
      </c>
      <c r="B134" s="111"/>
      <c r="C134" s="92"/>
      <c r="D134" s="92"/>
      <c r="E134" s="111" t="s">
        <v>191</v>
      </c>
      <c r="F134" s="92"/>
      <c r="G134" s="92"/>
      <c r="H134" s="92"/>
      <c r="I134" s="92"/>
      <c r="J134" s="92"/>
      <c r="K134" s="92"/>
      <c r="L134" s="92"/>
      <c r="M134" s="93"/>
    </row>
    <row r="135" spans="1:13" x14ac:dyDescent="0.25">
      <c r="A135" s="91" t="s">
        <v>175</v>
      </c>
      <c r="B135" s="12">
        <f>CEILING(((Lm_Flyback_DCM*ILpeak_Max_FlyB_DCM)/(Bmax_Flyback_DCM*(Ae_Flyback_DCM/100)))*(10^4),1)</f>
        <v>14</v>
      </c>
      <c r="C135" s="92"/>
      <c r="D135" s="92"/>
      <c r="E135" s="92"/>
      <c r="F135" s="92"/>
      <c r="G135" s="92"/>
      <c r="H135" s="92"/>
      <c r="I135" s="92"/>
      <c r="J135" s="92"/>
      <c r="K135" s="92"/>
      <c r="L135" s="92"/>
      <c r="M135" s="93"/>
    </row>
    <row r="136" spans="1:13" x14ac:dyDescent="0.25">
      <c r="A136" s="91" t="s">
        <v>106</v>
      </c>
      <c r="B136" s="7">
        <v>18</v>
      </c>
      <c r="C136" s="92"/>
      <c r="D136" s="100" t="s">
        <v>190</v>
      </c>
      <c r="E136" s="101">
        <f>(Np_T_Flyback_DCM*ILrms_Ipri_FlyB_DCM)/(Np_T_Flyback_DCM*ILrms_Total_Max_FB_DCM)</f>
        <v>0.38106936539056607</v>
      </c>
      <c r="F136" s="92"/>
      <c r="G136" s="92"/>
      <c r="H136" s="92"/>
      <c r="I136" s="92"/>
      <c r="J136" s="92"/>
      <c r="K136" s="92"/>
      <c r="L136" s="92"/>
      <c r="M136" s="93"/>
    </row>
    <row r="137" spans="1:13" x14ac:dyDescent="0.25">
      <c r="A137" s="91" t="s">
        <v>107</v>
      </c>
      <c r="B137" s="12">
        <f>ROUND((Ns1_Flyback/Np)*Np_T_Flyback_DCM,0)</f>
        <v>11</v>
      </c>
      <c r="C137" s="92"/>
      <c r="D137" s="100" t="s">
        <v>184</v>
      </c>
      <c r="E137" s="101">
        <f>(NVout1_T_Flyback_DCM*ILrms_IVOUT1_FlyB_DCM)/(Np_T_Flyback_DCM*ILrms_Total_Max_FB_DCM)</f>
        <v>0.22893725682836066</v>
      </c>
      <c r="F137" s="92"/>
      <c r="G137" s="92"/>
      <c r="H137" s="92"/>
      <c r="I137" s="92"/>
      <c r="J137" s="92"/>
      <c r="K137" s="92"/>
      <c r="L137" s="92"/>
      <c r="M137" s="93"/>
    </row>
    <row r="138" spans="1:13" x14ac:dyDescent="0.25">
      <c r="A138" s="91" t="s">
        <v>108</v>
      </c>
      <c r="B138" s="12">
        <f>ROUND((Ns2_Flyback/Np)*Np_T_Flyback_DCM,0)</f>
        <v>11</v>
      </c>
      <c r="C138" s="92"/>
      <c r="D138" s="100" t="s">
        <v>185</v>
      </c>
      <c r="E138" s="101">
        <f>(NVout2_T_Flyback_DCM*ILrms_IVOUT2_FlyB_DCM)/(Np_T_Flyback_DCM*ILrms_Total_Max_FB_DCM)</f>
        <v>0.22893725682836066</v>
      </c>
      <c r="F138" s="92"/>
      <c r="G138" s="92"/>
      <c r="H138" s="92"/>
      <c r="I138" s="92"/>
      <c r="J138" s="92"/>
      <c r="K138" s="92"/>
      <c r="L138" s="92"/>
      <c r="M138" s="93"/>
    </row>
    <row r="139" spans="1:13" x14ac:dyDescent="0.25">
      <c r="A139" s="91" t="s">
        <v>109</v>
      </c>
      <c r="B139" s="12">
        <f>ROUND((Ns3_Flyback/Np)*Np_T_Flyback_DCM,0)</f>
        <v>0</v>
      </c>
      <c r="C139" s="92"/>
      <c r="D139" s="100" t="s">
        <v>186</v>
      </c>
      <c r="E139" s="101">
        <f>(NVout3_T_Flyback_DCM*ILrms_IVOUT3_FlyB_DCM)/(Np_T_Flyback_DCM*ILrms_Total_Max_FB_DCM)</f>
        <v>0</v>
      </c>
      <c r="F139" s="92"/>
      <c r="G139" s="92"/>
      <c r="H139" s="92"/>
      <c r="I139" s="92"/>
      <c r="J139" s="92"/>
      <c r="K139" s="92"/>
      <c r="L139" s="92"/>
      <c r="M139" s="93"/>
    </row>
    <row r="140" spans="1:13" x14ac:dyDescent="0.25">
      <c r="A140" s="91" t="s">
        <v>110</v>
      </c>
      <c r="B140" s="12">
        <f>ROUND((Ns4_Flyback/Np)*Np_T_Flyback_DCM,0)</f>
        <v>0</v>
      </c>
      <c r="C140" s="92"/>
      <c r="D140" s="100" t="s">
        <v>187</v>
      </c>
      <c r="E140" s="101">
        <f>(NVout4_T_Flyback_DCM*ILrms_IVOUT4_FlyB_DCM)/(Np_T_Flyback_DCM*ILrms_Total_Max_FB_DCM)</f>
        <v>0</v>
      </c>
      <c r="F140" s="92"/>
      <c r="G140" s="92"/>
      <c r="H140" s="92"/>
      <c r="I140" s="92"/>
      <c r="J140" s="92"/>
      <c r="K140" s="92"/>
      <c r="L140" s="92"/>
      <c r="M140" s="93"/>
    </row>
    <row r="141" spans="1:13" x14ac:dyDescent="0.25">
      <c r="A141" s="91" t="s">
        <v>111</v>
      </c>
      <c r="B141" s="12">
        <f>ROUND((Ns5_Flyback/Np)*Np_T_Flyback_DCM,0)</f>
        <v>0</v>
      </c>
      <c r="C141" s="92"/>
      <c r="D141" s="100" t="s">
        <v>188</v>
      </c>
      <c r="E141" s="101">
        <f>(NVout5_T_Flyback_DCM*ILrms_IVOUT5_FlyB_DCM)/(Np_T_Flyback_DCM*ILrms_Total_Max_FB_DCM)</f>
        <v>0</v>
      </c>
      <c r="F141" s="92"/>
      <c r="G141" s="92"/>
      <c r="H141" s="92"/>
      <c r="I141" s="92"/>
      <c r="J141" s="92"/>
      <c r="K141" s="92"/>
      <c r="L141" s="92"/>
      <c r="M141" s="93"/>
    </row>
    <row r="142" spans="1:13" x14ac:dyDescent="0.25">
      <c r="A142" s="91" t="s">
        <v>112</v>
      </c>
      <c r="B142" s="12">
        <f>ROUND((Ns6_Flyback/Np)*Np_T_Flyback_DCM,0)</f>
        <v>0</v>
      </c>
      <c r="C142" s="92"/>
      <c r="D142" s="100" t="s">
        <v>189</v>
      </c>
      <c r="E142" s="101">
        <f>(NVout6_T_Flyback_DCM*ILrms_IVOUT6_FlyB_DCM)/(Np_T_Flyback_DCM*ILrms_Total_Max_FB_DCM)</f>
        <v>0</v>
      </c>
      <c r="F142" s="92"/>
      <c r="G142" s="92"/>
      <c r="H142" s="92"/>
      <c r="I142" s="92"/>
      <c r="J142" s="92"/>
      <c r="K142" s="92"/>
      <c r="L142" s="92"/>
      <c r="M142" s="93"/>
    </row>
    <row r="143" spans="1:13" x14ac:dyDescent="0.25">
      <c r="A143" s="175" t="s">
        <v>407</v>
      </c>
      <c r="B143" s="12">
        <f>ROUND((NsAux_Flyback/Np)*Np_T_Flyback_DCM,0)</f>
        <v>21</v>
      </c>
      <c r="D143" s="100" t="s">
        <v>420</v>
      </c>
      <c r="E143" s="15">
        <f>(NVAUX_T_Flyback_DCM*ILrms_IVAUX_FlyB_DCM)/(Np_T_Flyback_DCM*ILrms_Total_Max_FB_DCM)</f>
        <v>0.10940566242750198</v>
      </c>
    </row>
    <row r="144" spans="1:13" x14ac:dyDescent="0.25">
      <c r="A144" s="91"/>
      <c r="B144" s="92"/>
      <c r="C144" s="92"/>
      <c r="D144" s="100" t="s">
        <v>274</v>
      </c>
      <c r="E144" s="92" t="s">
        <v>26</v>
      </c>
      <c r="F144" s="92"/>
      <c r="G144" s="92" t="s">
        <v>283</v>
      </c>
      <c r="H144" s="92"/>
      <c r="I144" s="92"/>
      <c r="J144" s="92"/>
      <c r="K144" s="92"/>
      <c r="L144" s="92"/>
      <c r="M144" s="137"/>
    </row>
    <row r="145" spans="1:13" x14ac:dyDescent="0.25">
      <c r="A145" s="91" t="s">
        <v>193</v>
      </c>
      <c r="B145" s="102">
        <f>(aPri_FlyB_DCM*Ku_FlyBack_DCM*(Wa_Flyback_DCM/100))/Np_T_Flyback_DCM</f>
        <v>2.4451950945894655E-4</v>
      </c>
      <c r="C145" s="92" t="s">
        <v>200</v>
      </c>
      <c r="D145" s="92">
        <f>IF(AwPri_FlyB_DCM&lt;&gt;0,IF(VLOOKUP(AwPri_FlyB_DCM,Trans_Core!X2:Z24,1,TRUE)&lt;AwPri_FlyB_DCM,VLOOKUP(AwPri_FlyB_DCM,Trans_Core!X2:Z24,2,TRUE)-1,VLOOKUP(AwPri_FlyB_DCM,Trans_Core!X2:Z24,1,TRUE)),0)</f>
        <v>33</v>
      </c>
      <c r="E145" s="92">
        <v>25</v>
      </c>
      <c r="F145" s="92" t="s">
        <v>201</v>
      </c>
      <c r="G145" s="98">
        <f>IF(AwPri_FlyB_CCM&lt;&gt;0,VLOOKUP(AWG_Flyback_CCM,Trans_Core!AC2:AD26,2,TRUE),0)</f>
        <v>1.6230000000000001E-3</v>
      </c>
      <c r="H145" s="92" t="s">
        <v>200</v>
      </c>
      <c r="I145" s="92" t="s">
        <v>237</v>
      </c>
      <c r="J145" s="103">
        <f>IF(AwPri_FlyB_DCM&lt;&gt;0,pcu_100C*((MLT_Flyback_DCM/10)*Np_T_Flyback_DCM)/G145,0)</f>
        <v>3.2650646950092413E-2</v>
      </c>
      <c r="K145" s="100" t="s">
        <v>254</v>
      </c>
      <c r="L145" s="92" t="s">
        <v>247</v>
      </c>
      <c r="M145" s="187">
        <f>IF((G145/2)&lt;dSkin,RdcPri_Flyback_DCM,(G145/dSkin)*RdcPri_Flyback_DCM)</f>
        <v>3.2650646950092413E-2</v>
      </c>
    </row>
    <row r="146" spans="1:13" x14ac:dyDescent="0.25">
      <c r="A146" s="91" t="s">
        <v>194</v>
      </c>
      <c r="B146" s="102">
        <f>IF(NVout1_T_Flyback_DCM&lt;&gt;0,(a1_FlyB_DCM*Ku_FlyBack*(Wa_Flyback_DCM/100))/NVout1_T_Flyback_DCM,0)</f>
        <v>2.4038411966977868E-4</v>
      </c>
      <c r="C146" s="92" t="s">
        <v>200</v>
      </c>
      <c r="D146" s="92">
        <f>IF(Aw1_FlyB_DCM&lt;&gt;0,IF(VLOOKUP(Aw1_FlyB_DCM,Trans_Core!X2:Z24,1,TRUE)&lt;Aw1_FlyB_DCM,VLOOKUP(Aw1_FlyB_DCM,Trans_Core!X2:Z24,2,TRUE)-1,VLOOKUP(Aw1_FlyB_DCM,Trans_Core!X2:Z24,1,TRUE)),0)</f>
        <v>33</v>
      </c>
      <c r="E146" s="92">
        <v>16</v>
      </c>
      <c r="F146" s="92" t="s">
        <v>201</v>
      </c>
      <c r="G146" s="98">
        <f>IF(Aw1_FlyB_DCM&lt;&gt;0,VLOOKUP(AWG1_Flyback_DCM,Trans_Core!AC2:AD26,2,TRUE),0)</f>
        <v>1.307E-2</v>
      </c>
      <c r="H146" s="92" t="s">
        <v>200</v>
      </c>
      <c r="I146" s="92" t="s">
        <v>238</v>
      </c>
      <c r="J146" s="103">
        <f>IF(Aw1_FlyB_DCM&lt;&gt;0,pcu_100C*((MLT_Flyback_DCM/10)*NVout1_T_Flyback_DCM)/G146,0)</f>
        <v>2.4777352716143838E-3</v>
      </c>
      <c r="K146" s="100" t="s">
        <v>254</v>
      </c>
      <c r="L146" s="92" t="s">
        <v>248</v>
      </c>
      <c r="M146" s="187">
        <f>IF((G146/2)&lt;dSkin,Rdc1_Flyback_DCM,(G146/dSkin)*Rdc1_Flyback_DCM)</f>
        <v>2.3238445248670862E-2</v>
      </c>
    </row>
    <row r="147" spans="1:13" x14ac:dyDescent="0.25">
      <c r="A147" s="91" t="s">
        <v>195</v>
      </c>
      <c r="B147" s="102">
        <f>IF(NVout2_T_Flyback_DCM&lt;&gt;0,(a2_FlyB_DCM*Ku_FlyBack_DCM*(Wa_Flyback_DCM/100))/NVout2_T_Flyback_DCM,0)</f>
        <v>2.4038411966977868E-4</v>
      </c>
      <c r="C147" s="92" t="s">
        <v>200</v>
      </c>
      <c r="D147" s="92">
        <f>IF(Aw2_FlyB_DCM&lt;&gt;0,IF(VLOOKUP(Aw2_FlyB_DCM,Trans_Core!X2:Z24,1,TRUE)&lt;Aw2_FlyB_DCM,VLOOKUP(Aw2_FlyB_DCM,Trans_Core!X2:Z24,2,TRUE)-1,VLOOKUP(Aw2_FlyB_DCM,Trans_Core!X2:Z24,1,TRUE)),0)</f>
        <v>33</v>
      </c>
      <c r="E147" s="92">
        <v>16</v>
      </c>
      <c r="F147" s="92" t="s">
        <v>201</v>
      </c>
      <c r="G147" s="98">
        <f>IF(Aw2_FlyB_DCM&lt;&gt;0,VLOOKUP(AWG2_Flyback_DCM,Trans_Core!AC2:AD26,2,TRUE),0)</f>
        <v>1.307E-2</v>
      </c>
      <c r="H147" s="92" t="s">
        <v>200</v>
      </c>
      <c r="I147" s="92" t="s">
        <v>239</v>
      </c>
      <c r="J147" s="103">
        <f>IF(Aw2_FlyB_DCM&lt;&gt;0,pcu_100C*((MLT_Flyback_DCM/10)*NVout2_T_Flyback_DCM)/G147,0)</f>
        <v>2.4777352716143838E-3</v>
      </c>
      <c r="K147" s="100" t="s">
        <v>254</v>
      </c>
      <c r="L147" s="92" t="s">
        <v>249</v>
      </c>
      <c r="M147" s="187">
        <f>IF((G147/2)&lt;dSkin,Rdc2_Flyback_DCM,(G147/dSkin)*Rdc2_Flyback_DCM)</f>
        <v>2.3238445248670862E-2</v>
      </c>
    </row>
    <row r="148" spans="1:13" x14ac:dyDescent="0.25">
      <c r="A148" s="91" t="s">
        <v>196</v>
      </c>
      <c r="B148" s="102">
        <f>IF(NVout3_T_Flyback_DCM&lt;&gt;0,(a3_FlyB_DCM*Ku_FlyBack_DCM*(Wa_Flyback_DCM/100))/NVout3_T_Flyback_DCM,0)</f>
        <v>0</v>
      </c>
      <c r="C148" s="92" t="s">
        <v>200</v>
      </c>
      <c r="D148" s="92">
        <f>IF(Aw3_FlyB_DCM&lt;&gt;0,IF(VLOOKUP(Aw3_FlyB_DCM,Trans_Core!X2:Z24,1,TRUE)&lt;Aw3_FlyB_DCM,VLOOKUP(Aw3_FlyB_DCM,Trans_Core!X2:Z24,2,TRUE)-1,VLOOKUP(Aw3_FlyB_DCM,Trans_Core!X2:Z24,1,TRUE)),0)</f>
        <v>0</v>
      </c>
      <c r="E148" s="92">
        <v>0</v>
      </c>
      <c r="F148" s="92" t="s">
        <v>201</v>
      </c>
      <c r="G148" s="92">
        <f>IF(Aw3_FlyB_DCM&lt;&gt;0,VLOOKUP(AWG3_Flyback_DCM,Trans_Core!AC2:AD26,2,TRUE),0)</f>
        <v>0</v>
      </c>
      <c r="H148" s="92" t="s">
        <v>200</v>
      </c>
      <c r="I148" s="92" t="s">
        <v>240</v>
      </c>
      <c r="J148" s="92">
        <f>IF(Aw3_FlyB_DCM&lt;&gt;0,pcu_100C*((MLT_Flyback_DCM/10)*NVout3_T_Flyback_DCM)/G148,0)</f>
        <v>0</v>
      </c>
      <c r="K148" s="100" t="s">
        <v>254</v>
      </c>
      <c r="L148" s="92" t="s">
        <v>250</v>
      </c>
      <c r="M148" s="93">
        <f>IF((G148/2)&lt;dSkin,Rdc3_Flyback_DCM,(G148/dSkin)*Rdc3_Flyback_DCM)</f>
        <v>0</v>
      </c>
    </row>
    <row r="149" spans="1:13" x14ac:dyDescent="0.25">
      <c r="A149" s="91" t="s">
        <v>197</v>
      </c>
      <c r="B149" s="102">
        <f>IF(NVout4_T_Flyback_DCM&lt;&gt;0,(a4_FlyB_DCM*Ku_FlyBack_DCM*(Wa_Flyback_DCM/100))/NVout4_T_Flyback_DCM,0)</f>
        <v>0</v>
      </c>
      <c r="C149" s="92" t="s">
        <v>200</v>
      </c>
      <c r="D149" s="92">
        <f>IF(Aw4_FlyB_DCM&lt;&gt;0,IF(VLOOKUP(Aw4_FlyB_DCM,Trans_Core!X2:Z24,1,TRUE)&lt;Aw4_FlyB_DCM,VLOOKUP(Aw4_FlyB_DCM,Trans_Core!X2:Z24,2,TRUE)-1,VLOOKUP(Aw4_FlyB_DCM,Trans_Core!X2:Z24,1,TRUE)),0)</f>
        <v>0</v>
      </c>
      <c r="E149" s="92">
        <v>0</v>
      </c>
      <c r="F149" s="92" t="s">
        <v>201</v>
      </c>
      <c r="G149" s="92">
        <f>IF(Aw4_FlyB_DCM&lt;&gt;0,VLOOKUP(AWG4_Flyback_DCM,Trans_Core!AC2:AD26,2,TRUE),0)</f>
        <v>0</v>
      </c>
      <c r="H149" s="92" t="s">
        <v>200</v>
      </c>
      <c r="I149" s="92" t="s">
        <v>241</v>
      </c>
      <c r="J149" s="92">
        <f>IF(Aw4_FlyB_DCM&lt;&gt;0,pcu_100C*((MLT_Flyback_DCM/10)*NVout4_T_Flyback_DCM)/G149,0)</f>
        <v>0</v>
      </c>
      <c r="K149" s="100" t="s">
        <v>254</v>
      </c>
      <c r="L149" s="92" t="s">
        <v>251</v>
      </c>
      <c r="M149" s="93">
        <f>IF((G149/2)&lt;dSkin,Rdc4_Flyback_DCM,(G149/dSkin)*Rdc4_Flyback_DCM)</f>
        <v>0</v>
      </c>
    </row>
    <row r="150" spans="1:13" x14ac:dyDescent="0.25">
      <c r="A150" s="91" t="s">
        <v>198</v>
      </c>
      <c r="B150" s="102">
        <f>IF(NVout5_T_Flyback_DCM&lt;&gt;0,(a5_FlyB_DCM*Ku_FlyBack_DCM*(Wa_Flyback_DCM/100))/NVout5_T_Flyback_DCM,0)</f>
        <v>0</v>
      </c>
      <c r="C150" s="92" t="s">
        <v>200</v>
      </c>
      <c r="D150" s="92">
        <f>IF(Aw5_FlyB_DCM&lt;&gt;0,IF(VLOOKUP(Aw5_FlyB_DCM,Trans_Core!X2:Z24,1,TRUE)&lt;Aw5_FlyB_DCM,VLOOKUP(Aw5_FlyB_DCM,Trans_Core!X2:Z24,2,TRUE)-1,VLOOKUP(Aw5_FlyB_DCM,Trans_Core!X2:Z24,1,TRUE)),0)</f>
        <v>0</v>
      </c>
      <c r="E150" s="92">
        <v>0</v>
      </c>
      <c r="F150" s="92" t="s">
        <v>201</v>
      </c>
      <c r="G150" s="92">
        <f>IF(Aw5_FlyB_DCM&lt;&gt;0,VLOOKUP(AWG5_Flyback_DCM,Trans_Core!AC2:AD26,2,TRUE),0)</f>
        <v>0</v>
      </c>
      <c r="H150" s="92" t="s">
        <v>200</v>
      </c>
      <c r="I150" s="92" t="s">
        <v>242</v>
      </c>
      <c r="J150" s="92">
        <f>IF(Aw5_FlyB_DCM&lt;&gt;0,pcu_100C*((MLT_Flyback_DCM/10)*NVout5_T_Flyback_DCM)/G150,0)</f>
        <v>0</v>
      </c>
      <c r="K150" s="100" t="s">
        <v>254</v>
      </c>
      <c r="L150" s="92" t="s">
        <v>252</v>
      </c>
      <c r="M150" s="93">
        <f>IF((G150/2)&lt;dSkin,Rdc5_Flyback_DCM,(G150/dSkin)*Rdc5_Flyback_DCM)</f>
        <v>0</v>
      </c>
    </row>
    <row r="151" spans="1:13" ht="15.75" thickBot="1" x14ac:dyDescent="0.3">
      <c r="A151" s="104" t="s">
        <v>199</v>
      </c>
      <c r="B151" s="105">
        <f>IF(NVout6_T_Flyback_DCM&lt;&gt;0,(a6_FlyB_DCM*Ku_FlyBack_DCM*(Wa_Flyback_DCM/100))/NVout6_T_Flyback_DCM,0)</f>
        <v>0</v>
      </c>
      <c r="C151" s="106" t="s">
        <v>200</v>
      </c>
      <c r="D151" s="106">
        <f>IF(Aw6_FlyB_DCM&lt;&gt;0,IF(VLOOKUP(Aw6_FlyB_DCM,Trans_Core!X2:Z24,1,TRUE)&lt;Aw6_FlyB_DCM,VLOOKUP(Aw6_FlyB_DCM,Trans_Core!X2:Z24,2,TRUE)-1,VLOOKUP(Aw6_FlyB_DCM,Trans_Core!X2:Z24,1,TRUE)),0)</f>
        <v>0</v>
      </c>
      <c r="E151" s="106">
        <v>0</v>
      </c>
      <c r="F151" s="106" t="s">
        <v>201</v>
      </c>
      <c r="G151" s="106">
        <f>IF(Aw6_FlyB_DCM&lt;&gt;0,VLOOKUP(AWG6_Flyback_DCM,Trans_Core!AC2:AD26,2,TRUE),0)</f>
        <v>0</v>
      </c>
      <c r="H151" s="106" t="s">
        <v>200</v>
      </c>
      <c r="I151" s="106" t="s">
        <v>243</v>
      </c>
      <c r="J151" s="106">
        <f>IF(Aw6_FlyB_DCM&lt;&gt;0,pcu_100C*((MLT_Flyback_DCM/10)*NVout6_T_Flyback_DCM)/G151,0)</f>
        <v>0</v>
      </c>
      <c r="K151" s="107" t="s">
        <v>254</v>
      </c>
      <c r="L151" s="106" t="s">
        <v>253</v>
      </c>
      <c r="M151" s="108">
        <f>IF((G151/2)&lt;dSkin,Rdc6_Flyback_DCM,(G151/dSkin)*Rdc6_Flyback_DCM)</f>
        <v>0</v>
      </c>
    </row>
    <row r="152" spans="1:13" ht="15.75" thickBot="1" x14ac:dyDescent="0.3">
      <c r="A152" s="104" t="s">
        <v>421</v>
      </c>
      <c r="B152" s="105">
        <f>IF(NVAUX_T_Flyback_DCM&lt;&gt;0,(aAUX_FlyB_DCM*Ku_FlyBack_DCM*(Wa_Flyback_DCM/100))/NVAUX_T_Flyback_DCM,0)</f>
        <v>6.0173114335126092E-5</v>
      </c>
      <c r="C152" s="106" t="s">
        <v>200</v>
      </c>
      <c r="D152" s="106" t="e">
        <f>IF(AwAUX_FlyB_DCM&lt;&gt;0,IF(VLOOKUP(AwAUX_FlyB_DCM,Trans_Core!X3:Z25,1,TRUE)&lt;AwAUX_FlyB_DCM,VLOOKUP(AwAUX_FlyB_DCM,Trans_Core!X3:Z25,2,TRUE)-1,VLOOKUP(AwAUX_FlyB_DCM,Trans_Core!X3:Z25,1,TRUE)),0)</f>
        <v>#N/A</v>
      </c>
      <c r="E152" s="106">
        <v>16</v>
      </c>
      <c r="F152" s="106" t="s">
        <v>201</v>
      </c>
      <c r="G152" s="106">
        <f>IF(AwAUX_FlyB_DCM&lt;&gt;0,VLOOKUP(AWGAUX_Flyback_DCM,Trans_Core!AC3:AD27,2,TRUE),0)</f>
        <v>1.307E-2</v>
      </c>
      <c r="H152" s="106" t="s">
        <v>200</v>
      </c>
      <c r="I152" s="106" t="s">
        <v>243</v>
      </c>
      <c r="J152" s="120">
        <f>IF(AwAUX_FlyB_DCM&lt;&gt;0,pcu_100C*((MLT_Flyback_DCM/10)*NVAUX_T_Flyback_DCM)/G152,0)</f>
        <v>4.7302218821729134E-3</v>
      </c>
      <c r="K152" s="107" t="s">
        <v>254</v>
      </c>
      <c r="L152" s="106" t="s">
        <v>253</v>
      </c>
      <c r="M152" s="121">
        <f>IF((G152/2)&lt;dSkin,RdcAUX_Flyback_DCM,(G152/dSkin)*RdcAUX_Flyback_DCM)</f>
        <v>4.4364304565644365E-2</v>
      </c>
    </row>
  </sheetData>
  <mergeCells count="17">
    <mergeCell ref="E84:F84"/>
    <mergeCell ref="E121:F121"/>
    <mergeCell ref="E13:F13"/>
    <mergeCell ref="A116:XFD117"/>
    <mergeCell ref="A79:XFD80"/>
    <mergeCell ref="A43:XFD44"/>
    <mergeCell ref="G63:I63"/>
    <mergeCell ref="A71:B71"/>
    <mergeCell ref="I71:K71"/>
    <mergeCell ref="L71:N71"/>
    <mergeCell ref="A52:M52"/>
    <mergeCell ref="A61:M61"/>
    <mergeCell ref="A8:XFD9"/>
    <mergeCell ref="A1:XFD2"/>
    <mergeCell ref="A3:C3"/>
    <mergeCell ref="E53:G53"/>
    <mergeCell ref="A53:C53"/>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8"/>
  <sheetViews>
    <sheetView workbookViewId="0">
      <selection activeCell="G16" sqref="G16"/>
    </sheetView>
  </sheetViews>
  <sheetFormatPr defaultRowHeight="15" x14ac:dyDescent="0.25"/>
  <cols>
    <col min="2" max="2" width="9.5703125" bestFit="1" customWidth="1"/>
    <col min="5" max="5" width="11" bestFit="1" customWidth="1"/>
    <col min="14" max="14" width="12" bestFit="1" customWidth="1"/>
    <col min="17" max="17" width="9.42578125" customWidth="1"/>
  </cols>
  <sheetData>
    <row r="1" spans="1:32" s="14" customFormat="1" ht="75.75" thickBot="1" x14ac:dyDescent="0.3">
      <c r="A1" s="198" t="s">
        <v>30</v>
      </c>
      <c r="B1" s="199" t="s">
        <v>159</v>
      </c>
      <c r="C1" s="199" t="s">
        <v>114</v>
      </c>
      <c r="D1" s="199" t="s">
        <v>164</v>
      </c>
      <c r="E1" s="199" t="s">
        <v>160</v>
      </c>
      <c r="F1" s="199" t="s">
        <v>161</v>
      </c>
      <c r="G1" s="199" t="s">
        <v>162</v>
      </c>
      <c r="H1" s="200" t="s">
        <v>163</v>
      </c>
      <c r="J1" s="192" t="s">
        <v>212</v>
      </c>
      <c r="K1" s="192" t="s">
        <v>203</v>
      </c>
      <c r="L1" s="192" t="s">
        <v>205</v>
      </c>
      <c r="M1" s="192" t="s">
        <v>204</v>
      </c>
      <c r="N1" s="192" t="s">
        <v>206</v>
      </c>
      <c r="O1" s="192" t="s">
        <v>207</v>
      </c>
      <c r="P1" s="192" t="s">
        <v>208</v>
      </c>
      <c r="Q1" s="192" t="s">
        <v>209</v>
      </c>
      <c r="R1" s="192" t="s">
        <v>210</v>
      </c>
      <c r="S1" s="192" t="s">
        <v>211</v>
      </c>
      <c r="T1" s="192" t="s">
        <v>113</v>
      </c>
      <c r="X1" s="198" t="s">
        <v>218</v>
      </c>
      <c r="Y1" s="199" t="s">
        <v>201</v>
      </c>
      <c r="Z1" s="200" t="s">
        <v>219</v>
      </c>
      <c r="AC1" s="198" t="s">
        <v>201</v>
      </c>
      <c r="AD1" s="199" t="s">
        <v>218</v>
      </c>
      <c r="AE1" s="199" t="s">
        <v>245</v>
      </c>
      <c r="AF1" s="200" t="s">
        <v>246</v>
      </c>
    </row>
    <row r="2" spans="1:32" x14ac:dyDescent="0.25">
      <c r="A2" s="24">
        <v>1</v>
      </c>
      <c r="B2" s="26">
        <f t="shared" ref="B2:B7" si="0">((E2/100)^2)*(G2/100)/(H2/10)</f>
        <v>1.2857921741344197E-2</v>
      </c>
      <c r="C2" s="25" t="s">
        <v>170</v>
      </c>
      <c r="D2" s="25">
        <v>1930</v>
      </c>
      <c r="E2" s="25">
        <v>39.5</v>
      </c>
      <c r="F2" s="25">
        <v>49</v>
      </c>
      <c r="G2" s="25">
        <v>40.463000000000001</v>
      </c>
      <c r="H2" s="27">
        <v>49.1</v>
      </c>
      <c r="J2" s="24">
        <v>1</v>
      </c>
      <c r="K2" s="25" t="s">
        <v>171</v>
      </c>
      <c r="L2" s="25">
        <v>20</v>
      </c>
      <c r="M2" s="25">
        <v>100</v>
      </c>
      <c r="N2" s="26">
        <v>0</v>
      </c>
      <c r="O2" s="33">
        <v>0</v>
      </c>
      <c r="P2" s="33">
        <v>0</v>
      </c>
      <c r="Q2" s="33">
        <v>0</v>
      </c>
      <c r="R2" s="33">
        <v>0</v>
      </c>
      <c r="S2" s="33">
        <v>0</v>
      </c>
      <c r="T2" s="34">
        <v>0</v>
      </c>
      <c r="X2" s="24">
        <f>0.2011*(10^-3)</f>
        <v>2.0110000000000001E-4</v>
      </c>
      <c r="Y2" s="25">
        <v>34</v>
      </c>
      <c r="Z2" s="27">
        <v>8572.7999999999993</v>
      </c>
      <c r="AC2" s="144">
        <v>10</v>
      </c>
      <c r="AD2" s="191">
        <f>52.41*(10^-3)</f>
        <v>5.2409999999999998E-2</v>
      </c>
      <c r="AE2" s="196">
        <v>0.26700000000000002</v>
      </c>
      <c r="AF2" s="197">
        <f>AE2/2</f>
        <v>0.13350000000000001</v>
      </c>
    </row>
    <row r="3" spans="1:32" x14ac:dyDescent="0.25">
      <c r="A3" s="28">
        <v>2</v>
      </c>
      <c r="B3" s="19">
        <f t="shared" si="0"/>
        <v>7.0731609302325587E-3</v>
      </c>
      <c r="C3" s="12" t="s">
        <v>169</v>
      </c>
      <c r="D3" s="12">
        <v>1340</v>
      </c>
      <c r="E3" s="12">
        <v>31.2</v>
      </c>
      <c r="F3" s="12">
        <v>42.8</v>
      </c>
      <c r="G3" s="12">
        <v>28.12</v>
      </c>
      <c r="H3" s="29">
        <v>38.700000000000003</v>
      </c>
      <c r="J3" s="28">
        <v>2</v>
      </c>
      <c r="K3" s="12" t="s">
        <v>171</v>
      </c>
      <c r="L3" s="12">
        <v>100</v>
      </c>
      <c r="M3" s="12">
        <v>200</v>
      </c>
      <c r="N3" s="19">
        <v>0</v>
      </c>
      <c r="O3" s="23">
        <v>0</v>
      </c>
      <c r="P3" s="23">
        <v>0</v>
      </c>
      <c r="Q3" s="23">
        <v>0</v>
      </c>
      <c r="R3" s="23">
        <v>0</v>
      </c>
      <c r="S3" s="23">
        <v>0</v>
      </c>
      <c r="T3" s="35">
        <v>0</v>
      </c>
      <c r="X3" s="28">
        <f>0.2554*(10^-3)</f>
        <v>2.5540000000000003E-4</v>
      </c>
      <c r="Y3" s="12">
        <v>33</v>
      </c>
      <c r="Z3" s="29">
        <v>6748.6</v>
      </c>
      <c r="AC3" s="28">
        <v>11</v>
      </c>
      <c r="AD3" s="12">
        <f>41.6*(10^-3)</f>
        <v>4.1600000000000005E-2</v>
      </c>
      <c r="AE3" s="186">
        <v>0.23799999999999999</v>
      </c>
      <c r="AF3" s="193">
        <f t="shared" ref="AF3:AF26" si="1">AE3/2</f>
        <v>0.11899999999999999</v>
      </c>
    </row>
    <row r="4" spans="1:32" x14ac:dyDescent="0.25">
      <c r="A4" s="28">
        <v>3</v>
      </c>
      <c r="B4" s="19">
        <f t="shared" si="0"/>
        <v>2.0200500000000007E-3</v>
      </c>
      <c r="C4" s="12" t="s">
        <v>167</v>
      </c>
      <c r="D4" s="12">
        <v>750</v>
      </c>
      <c r="E4" s="12">
        <v>20.100000000000001</v>
      </c>
      <c r="F4" s="12">
        <v>37.6</v>
      </c>
      <c r="G4" s="12">
        <v>16.5</v>
      </c>
      <c r="H4" s="29">
        <v>33</v>
      </c>
      <c r="J4" s="28">
        <v>3</v>
      </c>
      <c r="K4" s="12" t="s">
        <v>171</v>
      </c>
      <c r="L4" s="12">
        <v>200</v>
      </c>
      <c r="M4" s="12">
        <v>400</v>
      </c>
      <c r="N4" s="19">
        <v>0</v>
      </c>
      <c r="O4" s="23">
        <v>0</v>
      </c>
      <c r="P4" s="23">
        <v>0</v>
      </c>
      <c r="Q4" s="23">
        <v>0</v>
      </c>
      <c r="R4" s="23">
        <v>0</v>
      </c>
      <c r="S4" s="23">
        <v>0</v>
      </c>
      <c r="T4" s="35">
        <v>0</v>
      </c>
      <c r="X4" s="28">
        <f>0.3242*(10^-3)</f>
        <v>3.2420000000000002E-4</v>
      </c>
      <c r="Y4" s="12">
        <v>32</v>
      </c>
      <c r="Z4" s="29">
        <v>5314.9</v>
      </c>
      <c r="AC4" s="28">
        <v>12</v>
      </c>
      <c r="AD4" s="12">
        <f>33.08*(10^-3)</f>
        <v>3.3079999999999998E-2</v>
      </c>
      <c r="AE4" s="186">
        <v>0.21299999999999999</v>
      </c>
      <c r="AF4" s="193">
        <f t="shared" si="1"/>
        <v>0.1065</v>
      </c>
    </row>
    <row r="5" spans="1:32" x14ac:dyDescent="0.25">
      <c r="A5" s="28">
        <v>4</v>
      </c>
      <c r="B5" s="19">
        <f t="shared" si="0"/>
        <v>5.402378378378379E-4</v>
      </c>
      <c r="C5" s="12" t="s">
        <v>168</v>
      </c>
      <c r="D5" s="12">
        <v>369</v>
      </c>
      <c r="E5" s="12">
        <v>12.4</v>
      </c>
      <c r="F5" s="12">
        <v>29.7</v>
      </c>
      <c r="G5" s="12">
        <v>10.4</v>
      </c>
      <c r="H5" s="29">
        <v>29.6</v>
      </c>
      <c r="J5" s="28">
        <v>4</v>
      </c>
      <c r="K5" s="12" t="s">
        <v>171</v>
      </c>
      <c r="L5" s="12">
        <v>500</v>
      </c>
      <c r="M5" s="12">
        <v>799</v>
      </c>
      <c r="N5" s="19">
        <f>1.12*(10^-7)</f>
        <v>1.1200000000000001E-7</v>
      </c>
      <c r="O5" s="21">
        <f>2.1952</f>
        <v>2.1951999999999998</v>
      </c>
      <c r="P5" s="21">
        <f>2.7199</f>
        <v>2.7199</v>
      </c>
      <c r="Q5" s="21">
        <f>1.28*(10^-4)</f>
        <v>1.2800000000000002E-4</v>
      </c>
      <c r="R5" s="21">
        <f>2.105*(10^-2)</f>
        <v>2.1049999999999999E-2</v>
      </c>
      <c r="S5" s="21">
        <f>1.801</f>
        <v>1.8009999999999999</v>
      </c>
      <c r="T5" s="29">
        <v>500</v>
      </c>
      <c r="X5" s="28">
        <f>0.40132*(10^-3)</f>
        <v>4.0132000000000004E-4</v>
      </c>
      <c r="Y5" s="12">
        <v>31</v>
      </c>
      <c r="Z5" s="29">
        <v>4291.6000000000004</v>
      </c>
      <c r="AC5" s="28">
        <v>13</v>
      </c>
      <c r="AD5" s="12">
        <f>26.26*(10^-3)</f>
        <v>2.6260000000000002E-2</v>
      </c>
      <c r="AE5" s="186">
        <v>0.19</v>
      </c>
      <c r="AF5" s="193">
        <f t="shared" si="1"/>
        <v>9.5000000000000001E-2</v>
      </c>
    </row>
    <row r="6" spans="1:32" ht="15.75" thickBot="1" x14ac:dyDescent="0.3">
      <c r="A6" s="28">
        <v>5</v>
      </c>
      <c r="B6" s="19">
        <f t="shared" si="0"/>
        <v>1.9653046874999999E-5</v>
      </c>
      <c r="C6" s="12" t="s">
        <v>220</v>
      </c>
      <c r="D6" s="12">
        <v>40.6</v>
      </c>
      <c r="E6" s="12">
        <v>3.3</v>
      </c>
      <c r="F6" s="12">
        <v>12.2</v>
      </c>
      <c r="G6" s="12">
        <v>2.31</v>
      </c>
      <c r="H6" s="29">
        <v>12.8</v>
      </c>
      <c r="J6" s="30">
        <v>5</v>
      </c>
      <c r="K6" s="31" t="s">
        <v>171</v>
      </c>
      <c r="L6" s="31">
        <v>800</v>
      </c>
      <c r="M6" s="31">
        <v>1200</v>
      </c>
      <c r="N6" s="36">
        <f>2.24*(10^-10)</f>
        <v>2.2400000000000003E-10</v>
      </c>
      <c r="O6" s="37">
        <f>2.6105</f>
        <v>2.6105</v>
      </c>
      <c r="P6" s="37">
        <f>2.4977</f>
        <v>2.4977</v>
      </c>
      <c r="Q6" s="37">
        <f>8.17*(10^-5)</f>
        <v>8.1700000000000007E-5</v>
      </c>
      <c r="R6" s="37">
        <f>1.01*(10^-2)</f>
        <v>1.01E-2</v>
      </c>
      <c r="S6" s="37">
        <f>1.152</f>
        <v>1.1519999999999999</v>
      </c>
      <c r="T6" s="32">
        <v>500</v>
      </c>
      <c r="X6" s="28">
        <f>0.5067*(10^-3)</f>
        <v>5.0670000000000001E-4</v>
      </c>
      <c r="Y6" s="12">
        <v>30</v>
      </c>
      <c r="Z6" s="29">
        <v>3402.2</v>
      </c>
      <c r="AC6" s="28">
        <v>14</v>
      </c>
      <c r="AD6" s="12">
        <f>20.02*(10^-3)</f>
        <v>2.002E-2</v>
      </c>
      <c r="AE6" s="186">
        <v>0.17100000000000001</v>
      </c>
      <c r="AF6" s="193">
        <f t="shared" si="1"/>
        <v>8.5500000000000007E-2</v>
      </c>
    </row>
    <row r="7" spans="1:32" ht="15.75" thickBot="1" x14ac:dyDescent="0.3">
      <c r="A7" s="30">
        <v>6</v>
      </c>
      <c r="B7" s="36">
        <f t="shared" si="0"/>
        <v>1.0108000000000002E-5</v>
      </c>
      <c r="C7" s="31" t="s">
        <v>166</v>
      </c>
      <c r="D7" s="31">
        <f>33.3</f>
        <v>33.299999999999997</v>
      </c>
      <c r="E7" s="31">
        <f>2.66</f>
        <v>2.66</v>
      </c>
      <c r="F7" s="31">
        <f>12.6</f>
        <v>12.6</v>
      </c>
      <c r="G7" s="31">
        <f>1.8</f>
        <v>1.8</v>
      </c>
      <c r="H7" s="32">
        <f>12.6</f>
        <v>12.6</v>
      </c>
      <c r="J7" s="24">
        <v>1</v>
      </c>
      <c r="K7" s="25" t="s">
        <v>172</v>
      </c>
      <c r="L7" s="25">
        <v>20</v>
      </c>
      <c r="M7" s="25">
        <v>100</v>
      </c>
      <c r="N7" s="26">
        <v>0</v>
      </c>
      <c r="O7" s="33">
        <v>0</v>
      </c>
      <c r="P7" s="33">
        <v>0</v>
      </c>
      <c r="Q7" s="33">
        <v>0</v>
      </c>
      <c r="R7" s="33">
        <v>0</v>
      </c>
      <c r="S7" s="33">
        <v>0</v>
      </c>
      <c r="T7" s="34">
        <v>0</v>
      </c>
      <c r="X7" s="28">
        <f>0.647*(10^-3)</f>
        <v>6.4700000000000001E-4</v>
      </c>
      <c r="Y7" s="12">
        <v>29</v>
      </c>
      <c r="Z7" s="29">
        <v>2664.3</v>
      </c>
      <c r="AC7" s="28">
        <v>15</v>
      </c>
      <c r="AD7" s="12">
        <f>16.51*(10^-3)</f>
        <v>1.651E-2</v>
      </c>
      <c r="AE7" s="186">
        <v>0.153</v>
      </c>
      <c r="AF7" s="193">
        <f t="shared" si="1"/>
        <v>7.6499999999999999E-2</v>
      </c>
    </row>
    <row r="8" spans="1:32" x14ac:dyDescent="0.25">
      <c r="B8" s="18"/>
      <c r="J8" s="28">
        <v>2</v>
      </c>
      <c r="K8" s="12" t="s">
        <v>172</v>
      </c>
      <c r="L8" s="12">
        <v>100</v>
      </c>
      <c r="M8" s="12">
        <v>200</v>
      </c>
      <c r="N8" s="19">
        <v>0</v>
      </c>
      <c r="O8" s="23">
        <v>0</v>
      </c>
      <c r="P8" s="23">
        <v>0</v>
      </c>
      <c r="Q8" s="23">
        <v>0</v>
      </c>
      <c r="R8" s="23">
        <v>0</v>
      </c>
      <c r="S8" s="23">
        <v>0</v>
      </c>
      <c r="T8" s="35">
        <v>0</v>
      </c>
      <c r="X8" s="28">
        <f>0.8046*(10^-3)</f>
        <v>8.0460000000000004E-4</v>
      </c>
      <c r="Y8" s="12">
        <v>28</v>
      </c>
      <c r="Z8" s="29">
        <v>2142.6999999999998</v>
      </c>
      <c r="AC8" s="28">
        <v>16</v>
      </c>
      <c r="AD8" s="12">
        <f>13.07*(10^-3)</f>
        <v>1.307E-2</v>
      </c>
      <c r="AE8" s="186">
        <v>0.13700000000000001</v>
      </c>
      <c r="AF8" s="193">
        <f t="shared" si="1"/>
        <v>6.8500000000000005E-2</v>
      </c>
    </row>
    <row r="9" spans="1:32" x14ac:dyDescent="0.25">
      <c r="B9" s="18"/>
      <c r="J9" s="28">
        <v>3</v>
      </c>
      <c r="K9" s="12" t="s">
        <v>172</v>
      </c>
      <c r="L9" s="12">
        <v>200</v>
      </c>
      <c r="M9" s="12">
        <v>400</v>
      </c>
      <c r="N9" s="19">
        <v>0</v>
      </c>
      <c r="O9" s="23">
        <v>0</v>
      </c>
      <c r="P9" s="23">
        <v>0</v>
      </c>
      <c r="Q9" s="23">
        <v>0</v>
      </c>
      <c r="R9" s="23">
        <v>0</v>
      </c>
      <c r="S9" s="23">
        <v>0</v>
      </c>
      <c r="T9" s="35">
        <v>0</v>
      </c>
      <c r="X9" s="28">
        <f>1.021*(10^-3)</f>
        <v>1.021E-3</v>
      </c>
      <c r="Y9" s="12">
        <v>27</v>
      </c>
      <c r="Z9" s="29">
        <v>1681.6</v>
      </c>
      <c r="AC9" s="28">
        <v>17</v>
      </c>
      <c r="AD9" s="12">
        <f>10.39*(10^-3)</f>
        <v>1.039E-2</v>
      </c>
      <c r="AE9" s="186">
        <v>0.122</v>
      </c>
      <c r="AF9" s="193">
        <f t="shared" si="1"/>
        <v>6.0999999999999999E-2</v>
      </c>
    </row>
    <row r="10" spans="1:32" x14ac:dyDescent="0.25">
      <c r="B10" s="18"/>
      <c r="J10" s="28">
        <v>4</v>
      </c>
      <c r="K10" s="12" t="s">
        <v>172</v>
      </c>
      <c r="L10" s="12">
        <v>500</v>
      </c>
      <c r="M10" s="12">
        <v>799</v>
      </c>
      <c r="N10" s="19">
        <f>1.12*(10^-7)</f>
        <v>1.1200000000000001E-7</v>
      </c>
      <c r="O10" s="21">
        <f>2.1952</f>
        <v>2.1951999999999998</v>
      </c>
      <c r="P10" s="21">
        <f>2.7199</f>
        <v>2.7199</v>
      </c>
      <c r="Q10" s="21">
        <f>8.9226*(10^-5)</f>
        <v>8.9226000000000003E-5</v>
      </c>
      <c r="R10" s="21">
        <f>1.172*(10^-2)</f>
        <v>1.172E-2</v>
      </c>
      <c r="S10" s="21">
        <f>1.282</f>
        <v>1.282</v>
      </c>
      <c r="T10" s="29">
        <v>520</v>
      </c>
      <c r="X10" s="28">
        <f>1.28*(10^-3)</f>
        <v>1.2800000000000001E-3</v>
      </c>
      <c r="Y10" s="12">
        <v>26</v>
      </c>
      <c r="Z10" s="29">
        <v>1345</v>
      </c>
      <c r="AC10" s="28">
        <v>18</v>
      </c>
      <c r="AD10" s="12">
        <f>8.228*(10^-3)</f>
        <v>8.2279999999999992E-3</v>
      </c>
      <c r="AE10" s="186">
        <v>0.109</v>
      </c>
      <c r="AF10" s="193">
        <f t="shared" si="1"/>
        <v>5.45E-2</v>
      </c>
    </row>
    <row r="11" spans="1:32" ht="15.75" thickBot="1" x14ac:dyDescent="0.3">
      <c r="J11" s="30">
        <v>5</v>
      </c>
      <c r="K11" s="31" t="s">
        <v>172</v>
      </c>
      <c r="L11" s="31">
        <v>800</v>
      </c>
      <c r="M11" s="31">
        <v>1200</v>
      </c>
      <c r="N11" s="36">
        <f>2.24*(10^-10)</f>
        <v>2.2400000000000003E-10</v>
      </c>
      <c r="O11" s="37">
        <f>2.4977</f>
        <v>2.4977</v>
      </c>
      <c r="P11" s="37">
        <f>2.4977</f>
        <v>2.4977</v>
      </c>
      <c r="Q11" s="37">
        <f>6.119*(10^-5)</f>
        <v>6.1190000000000002E-5</v>
      </c>
      <c r="R11" s="37">
        <f>6.142*(10^-3)</f>
        <v>6.1420000000000008E-3</v>
      </c>
      <c r="S11" s="37">
        <f>1.011</f>
        <v>1.0109999999999999</v>
      </c>
      <c r="T11" s="32">
        <v>520</v>
      </c>
      <c r="X11" s="28">
        <f>1.623*(10^-3)</f>
        <v>1.6230000000000001E-3</v>
      </c>
      <c r="Y11" s="12">
        <v>25</v>
      </c>
      <c r="Z11" s="29">
        <v>1062</v>
      </c>
      <c r="AC11" s="28">
        <v>19</v>
      </c>
      <c r="AD11" s="12">
        <f>6.537*(10^-3)</f>
        <v>6.5370000000000003E-3</v>
      </c>
      <c r="AE11" s="186">
        <v>9.4799999999999995E-2</v>
      </c>
      <c r="AF11" s="193">
        <f t="shared" si="1"/>
        <v>4.7399999999999998E-2</v>
      </c>
    </row>
    <row r="12" spans="1:32" x14ac:dyDescent="0.25">
      <c r="J12" s="24">
        <v>1</v>
      </c>
      <c r="K12" s="25" t="s">
        <v>222</v>
      </c>
      <c r="L12" s="25">
        <v>20</v>
      </c>
      <c r="M12" s="25">
        <v>100</v>
      </c>
      <c r="N12" s="26">
        <v>26.5</v>
      </c>
      <c r="O12" s="25">
        <v>1.19</v>
      </c>
      <c r="P12" s="25">
        <v>2.65</v>
      </c>
      <c r="Q12" s="25">
        <f>2.68*(10^-4)</f>
        <v>2.6800000000000001E-4</v>
      </c>
      <c r="R12" s="25">
        <f>5.43*(10^-2)</f>
        <v>5.4300000000000001E-2</v>
      </c>
      <c r="S12" s="25">
        <v>3.75</v>
      </c>
      <c r="T12" s="27">
        <v>500</v>
      </c>
      <c r="X12" s="28">
        <f>2.047*(10^-3)</f>
        <v>2.0470000000000002E-3</v>
      </c>
      <c r="Y12" s="12">
        <v>24</v>
      </c>
      <c r="Z12" s="29">
        <v>842.1</v>
      </c>
      <c r="AC12" s="28">
        <v>20</v>
      </c>
      <c r="AD12" s="12">
        <f>5.188*(10^-3)</f>
        <v>5.1879999999999999E-3</v>
      </c>
      <c r="AE12" s="186">
        <v>8.7400000000000005E-2</v>
      </c>
      <c r="AF12" s="193">
        <f t="shared" si="1"/>
        <v>4.3700000000000003E-2</v>
      </c>
    </row>
    <row r="13" spans="1:32" x14ac:dyDescent="0.25">
      <c r="J13" s="28">
        <v>2</v>
      </c>
      <c r="K13" s="12" t="s">
        <v>222</v>
      </c>
      <c r="L13" s="12">
        <v>100</v>
      </c>
      <c r="M13" s="12">
        <v>200</v>
      </c>
      <c r="N13" s="19">
        <v>0.34899999999999998</v>
      </c>
      <c r="O13" s="12">
        <v>1.59</v>
      </c>
      <c r="P13" s="12">
        <v>2.6</v>
      </c>
      <c r="Q13" s="12">
        <f>1.51*(10^-4)</f>
        <v>1.5100000000000001E-4</v>
      </c>
      <c r="R13" s="12">
        <f>3.05*(10^-2)</f>
        <v>3.0499999999999999E-2</v>
      </c>
      <c r="S13" s="12">
        <v>2.5499999999999998</v>
      </c>
      <c r="T13" s="29">
        <v>500</v>
      </c>
      <c r="X13" s="28">
        <f>2.508*(10^-3)</f>
        <v>2.5080000000000002E-3</v>
      </c>
      <c r="Y13" s="12">
        <v>23</v>
      </c>
      <c r="Z13" s="29">
        <v>666</v>
      </c>
      <c r="AC13" s="28">
        <v>21</v>
      </c>
      <c r="AD13" s="12">
        <f>4.116*(10^-3)</f>
        <v>4.1159999999999999E-3</v>
      </c>
      <c r="AE13" s="186">
        <v>7.85E-2</v>
      </c>
      <c r="AF13" s="193">
        <f t="shared" si="1"/>
        <v>3.925E-2</v>
      </c>
    </row>
    <row r="14" spans="1:32" x14ac:dyDescent="0.25">
      <c r="J14" s="28">
        <v>3</v>
      </c>
      <c r="K14" s="12" t="s">
        <v>222</v>
      </c>
      <c r="L14" s="12">
        <v>200</v>
      </c>
      <c r="M14" s="12">
        <v>400</v>
      </c>
      <c r="N14" s="19">
        <f>1.19*(10^-4)</f>
        <v>1.1900000000000001E-4</v>
      </c>
      <c r="O14" s="12">
        <v>2.2400000000000002</v>
      </c>
      <c r="P14" s="12">
        <v>2.66</v>
      </c>
      <c r="Q14" s="12">
        <f>2.08*(10^-4)</f>
        <v>2.0800000000000001E-4</v>
      </c>
      <c r="R14" s="12">
        <f>4.37*(10^-2)</f>
        <v>4.3700000000000003E-2</v>
      </c>
      <c r="S14" s="12">
        <v>3.29</v>
      </c>
      <c r="T14" s="29">
        <v>500</v>
      </c>
      <c r="X14" s="28">
        <f>3.243*(10^-3)</f>
        <v>3.2429999999999998E-3</v>
      </c>
      <c r="Y14" s="12">
        <v>22</v>
      </c>
      <c r="Z14" s="29">
        <v>531.4</v>
      </c>
      <c r="AC14" s="28">
        <v>22</v>
      </c>
      <c r="AD14" s="12">
        <f>3.243*(10^-3)</f>
        <v>3.2429999999999998E-3</v>
      </c>
      <c r="AE14" s="186">
        <v>7.0099999999999996E-2</v>
      </c>
      <c r="AF14" s="193">
        <f t="shared" si="1"/>
        <v>3.5049999999999998E-2</v>
      </c>
    </row>
    <row r="15" spans="1:32" x14ac:dyDescent="0.25">
      <c r="J15" s="28">
        <v>4</v>
      </c>
      <c r="K15" s="12" t="s">
        <v>222</v>
      </c>
      <c r="L15" s="12">
        <v>400</v>
      </c>
      <c r="M15" s="12">
        <v>800</v>
      </c>
      <c r="N15" s="12">
        <v>0</v>
      </c>
      <c r="O15" s="12">
        <v>0</v>
      </c>
      <c r="P15" s="12">
        <v>0</v>
      </c>
      <c r="Q15" s="12">
        <v>0</v>
      </c>
      <c r="R15" s="12">
        <v>0</v>
      </c>
      <c r="S15" s="12">
        <v>0</v>
      </c>
      <c r="T15" s="29">
        <v>0</v>
      </c>
      <c r="X15" s="28">
        <f>4.116*(10^-3)</f>
        <v>4.1159999999999999E-3</v>
      </c>
      <c r="Y15" s="12">
        <v>21</v>
      </c>
      <c r="Z15" s="29">
        <v>418.9</v>
      </c>
      <c r="AC15" s="28">
        <v>23</v>
      </c>
      <c r="AD15" s="12">
        <f>2.508*(10^-3)</f>
        <v>2.5080000000000002E-3</v>
      </c>
      <c r="AE15" s="186">
        <v>6.3200000000000006E-2</v>
      </c>
      <c r="AF15" s="193">
        <f t="shared" si="1"/>
        <v>3.1600000000000003E-2</v>
      </c>
    </row>
    <row r="16" spans="1:32" ht="15.75" thickBot="1" x14ac:dyDescent="0.3">
      <c r="J16" s="30">
        <v>5</v>
      </c>
      <c r="K16" s="31" t="s">
        <v>222</v>
      </c>
      <c r="L16" s="31">
        <v>800</v>
      </c>
      <c r="M16" s="31">
        <v>1200</v>
      </c>
      <c r="N16" s="31">
        <v>0</v>
      </c>
      <c r="O16" s="31">
        <v>0</v>
      </c>
      <c r="P16" s="31">
        <v>0</v>
      </c>
      <c r="Q16" s="31">
        <v>0</v>
      </c>
      <c r="R16" s="31">
        <v>0</v>
      </c>
      <c r="S16" s="31">
        <v>0</v>
      </c>
      <c r="T16" s="32">
        <v>0</v>
      </c>
      <c r="X16" s="28">
        <f>5.188*(10^-3)</f>
        <v>5.1879999999999999E-3</v>
      </c>
      <c r="Y16" s="12">
        <v>20</v>
      </c>
      <c r="Z16" s="29">
        <v>332.3</v>
      </c>
      <c r="AC16" s="28">
        <v>24</v>
      </c>
      <c r="AD16" s="12">
        <f>2.047*(10^-3)</f>
        <v>2.0470000000000002E-3</v>
      </c>
      <c r="AE16" s="186">
        <v>5.6599999999999998E-2</v>
      </c>
      <c r="AF16" s="193">
        <f t="shared" si="1"/>
        <v>2.8299999999999999E-2</v>
      </c>
    </row>
    <row r="17" spans="9:32" x14ac:dyDescent="0.25">
      <c r="J17" s="24">
        <v>1</v>
      </c>
      <c r="K17" s="25" t="s">
        <v>223</v>
      </c>
      <c r="L17" s="25">
        <v>20</v>
      </c>
      <c r="M17" s="25">
        <v>100</v>
      </c>
      <c r="N17" s="26">
        <v>5.12</v>
      </c>
      <c r="O17" s="25">
        <v>1.34</v>
      </c>
      <c r="P17" s="25">
        <v>2.66</v>
      </c>
      <c r="Q17" s="25">
        <f>5.48*(10^-4)</f>
        <v>5.4800000000000009E-4</v>
      </c>
      <c r="R17" s="25">
        <f>1.1*(10^-1)</f>
        <v>0.11000000000000001</v>
      </c>
      <c r="S17" s="25">
        <v>6.56</v>
      </c>
      <c r="T17" s="27">
        <v>500</v>
      </c>
      <c r="X17" s="28">
        <f>6.537*(10^-3)</f>
        <v>6.5370000000000003E-3</v>
      </c>
      <c r="Y17" s="12">
        <v>19</v>
      </c>
      <c r="Z17" s="29">
        <v>263.89999999999998</v>
      </c>
      <c r="AC17" s="28">
        <v>25</v>
      </c>
      <c r="AD17" s="12">
        <f>1.623*(10^-3)</f>
        <v>1.6230000000000001E-3</v>
      </c>
      <c r="AE17" s="186">
        <v>5.0500000000000003E-2</v>
      </c>
      <c r="AF17" s="193">
        <f t="shared" si="1"/>
        <v>2.5250000000000002E-2</v>
      </c>
    </row>
    <row r="18" spans="9:32" x14ac:dyDescent="0.25">
      <c r="J18" s="28">
        <v>2</v>
      </c>
      <c r="K18" s="12" t="s">
        <v>223</v>
      </c>
      <c r="L18" s="12">
        <v>100</v>
      </c>
      <c r="M18" s="12">
        <v>200</v>
      </c>
      <c r="N18" s="19">
        <f>8.27*(10^-2)</f>
        <v>8.2699999999999996E-2</v>
      </c>
      <c r="O18" s="12">
        <v>1.72</v>
      </c>
      <c r="P18" s="12">
        <v>2.8</v>
      </c>
      <c r="Q18" s="12">
        <f>1.83*(10^-4)</f>
        <v>1.83E-4</v>
      </c>
      <c r="R18" s="12">
        <f>3.66*(10^-2)</f>
        <v>3.6600000000000001E-2</v>
      </c>
      <c r="S18" s="12">
        <v>2.83</v>
      </c>
      <c r="T18" s="29">
        <v>500</v>
      </c>
      <c r="X18" s="28">
        <f>8.228*(10^-3)</f>
        <v>8.2279999999999992E-3</v>
      </c>
      <c r="Y18" s="12">
        <v>18</v>
      </c>
      <c r="Z18" s="29">
        <v>209.5</v>
      </c>
      <c r="AC18" s="28">
        <v>26</v>
      </c>
      <c r="AD18" s="12">
        <f>1.28*(10^-3)</f>
        <v>1.2800000000000001E-3</v>
      </c>
      <c r="AE18" s="186">
        <v>4.5199999999999997E-2</v>
      </c>
      <c r="AF18" s="193">
        <f t="shared" si="1"/>
        <v>2.2599999999999999E-2</v>
      </c>
    </row>
    <row r="19" spans="9:32" x14ac:dyDescent="0.25">
      <c r="J19" s="28">
        <v>3</v>
      </c>
      <c r="K19" s="12" t="s">
        <v>223</v>
      </c>
      <c r="L19" s="12">
        <v>200</v>
      </c>
      <c r="M19" s="12">
        <v>400</v>
      </c>
      <c r="N19" s="19">
        <f>9.17*(10^-5)</f>
        <v>9.1700000000000006E-5</v>
      </c>
      <c r="O19" s="12">
        <v>2.2200000000000002</v>
      </c>
      <c r="P19" s="12">
        <v>2.46</v>
      </c>
      <c r="Q19" s="12">
        <f>2.33*(10^-4)</f>
        <v>2.3300000000000003E-4</v>
      </c>
      <c r="R19" s="12">
        <f>4.72*(10^-2)</f>
        <v>4.7199999999999999E-2</v>
      </c>
      <c r="S19" s="12">
        <v>3.39</v>
      </c>
      <c r="T19" s="29">
        <v>500</v>
      </c>
      <c r="X19" s="28">
        <f>10.39*(10^-3)</f>
        <v>1.039E-2</v>
      </c>
      <c r="Y19" s="12">
        <v>17</v>
      </c>
      <c r="Z19" s="29">
        <v>165.8</v>
      </c>
      <c r="AC19" s="28">
        <v>27</v>
      </c>
      <c r="AD19" s="12">
        <f>1.021*(10^-3)</f>
        <v>1.021E-3</v>
      </c>
      <c r="AE19" s="186">
        <v>4.0899999999999999E-2</v>
      </c>
      <c r="AF19" s="193">
        <f t="shared" si="1"/>
        <v>2.0449999999999999E-2</v>
      </c>
    </row>
    <row r="20" spans="9:32" x14ac:dyDescent="0.25">
      <c r="J20" s="28">
        <v>4</v>
      </c>
      <c r="K20" s="12" t="s">
        <v>223</v>
      </c>
      <c r="L20" s="12">
        <v>400</v>
      </c>
      <c r="M20" s="12">
        <v>800</v>
      </c>
      <c r="N20" s="12">
        <v>0</v>
      </c>
      <c r="O20" s="12">
        <v>0</v>
      </c>
      <c r="P20" s="12">
        <v>0</v>
      </c>
      <c r="Q20" s="12">
        <v>0</v>
      </c>
      <c r="R20" s="12">
        <v>0</v>
      </c>
      <c r="S20" s="12">
        <v>0</v>
      </c>
      <c r="T20" s="29">
        <v>0</v>
      </c>
      <c r="X20" s="28">
        <f>13.07*(10^-3)</f>
        <v>1.307E-2</v>
      </c>
      <c r="Y20" s="12">
        <v>16</v>
      </c>
      <c r="Z20" s="29">
        <v>131.80000000000001</v>
      </c>
      <c r="AC20" s="28">
        <v>28</v>
      </c>
      <c r="AD20" s="12">
        <f>0.8046*(10^-3)</f>
        <v>8.0460000000000004E-4</v>
      </c>
      <c r="AE20" s="186">
        <v>3.6600000000000001E-2</v>
      </c>
      <c r="AF20" s="193">
        <f t="shared" si="1"/>
        <v>1.83E-2</v>
      </c>
    </row>
    <row r="21" spans="9:32" ht="15.75" thickBot="1" x14ac:dyDescent="0.3">
      <c r="J21" s="30">
        <v>5</v>
      </c>
      <c r="K21" s="31" t="s">
        <v>223</v>
      </c>
      <c r="L21" s="31">
        <v>800</v>
      </c>
      <c r="M21" s="31">
        <v>1200</v>
      </c>
      <c r="N21" s="31">
        <v>0</v>
      </c>
      <c r="O21" s="31">
        <v>0</v>
      </c>
      <c r="P21" s="31">
        <v>0</v>
      </c>
      <c r="Q21" s="31">
        <v>0</v>
      </c>
      <c r="R21" s="31">
        <v>0</v>
      </c>
      <c r="S21" s="31">
        <v>0</v>
      </c>
      <c r="T21" s="32">
        <v>0</v>
      </c>
      <c r="X21" s="28">
        <f>16.51*(10^-3)</f>
        <v>1.651E-2</v>
      </c>
      <c r="Y21" s="12">
        <v>15</v>
      </c>
      <c r="Z21" s="29">
        <v>104.3</v>
      </c>
      <c r="AC21" s="28">
        <v>29</v>
      </c>
      <c r="AD21" s="12">
        <f>0.647*(10^-3)</f>
        <v>6.4700000000000001E-4</v>
      </c>
      <c r="AE21" s="186">
        <v>3.3000000000000002E-2</v>
      </c>
      <c r="AF21" s="193">
        <f t="shared" si="1"/>
        <v>1.6500000000000001E-2</v>
      </c>
    </row>
    <row r="22" spans="9:32" x14ac:dyDescent="0.25">
      <c r="N22" s="2"/>
      <c r="X22" s="28">
        <f>20.02*(10^-3)</f>
        <v>2.002E-2</v>
      </c>
      <c r="Y22" s="12">
        <v>14</v>
      </c>
      <c r="Z22" s="29">
        <v>82.8</v>
      </c>
      <c r="AC22" s="28">
        <v>30</v>
      </c>
      <c r="AD22" s="12">
        <f>0.5067*(10^-3)</f>
        <v>5.0670000000000001E-4</v>
      </c>
      <c r="AE22" s="186">
        <v>2.9399999999999999E-2</v>
      </c>
      <c r="AF22" s="193">
        <f t="shared" si="1"/>
        <v>1.47E-2</v>
      </c>
    </row>
    <row r="23" spans="9:32" ht="15.75" thickBot="1" x14ac:dyDescent="0.3">
      <c r="X23" s="28">
        <f>26.26*(10^-3)</f>
        <v>2.6260000000000002E-2</v>
      </c>
      <c r="Y23" s="12">
        <v>13</v>
      </c>
      <c r="Z23" s="29">
        <v>69.64</v>
      </c>
      <c r="AC23" s="28">
        <v>31</v>
      </c>
      <c r="AD23" s="12">
        <f>0.40132*(10^-3)</f>
        <v>4.0132000000000004E-4</v>
      </c>
      <c r="AE23" s="186">
        <v>2.6700000000000002E-2</v>
      </c>
      <c r="AF23" s="193">
        <f t="shared" si="1"/>
        <v>1.3350000000000001E-2</v>
      </c>
    </row>
    <row r="24" spans="9:32" x14ac:dyDescent="0.25">
      <c r="L24" s="24" t="s">
        <v>213</v>
      </c>
      <c r="M24" s="25" t="s">
        <v>214</v>
      </c>
      <c r="N24" s="25" t="s">
        <v>206</v>
      </c>
      <c r="O24" s="25" t="s">
        <v>207</v>
      </c>
      <c r="P24" s="25" t="s">
        <v>208</v>
      </c>
      <c r="Q24" s="25" t="s">
        <v>209</v>
      </c>
      <c r="R24" s="25" t="s">
        <v>210</v>
      </c>
      <c r="S24" s="25" t="s">
        <v>211</v>
      </c>
      <c r="T24" s="27" t="s">
        <v>215</v>
      </c>
      <c r="X24" s="28">
        <f>33.08*(10^-3)</f>
        <v>3.3079999999999998E-2</v>
      </c>
      <c r="Y24" s="12">
        <v>12</v>
      </c>
      <c r="Z24" s="29">
        <v>52.09</v>
      </c>
      <c r="AC24" s="28">
        <v>32</v>
      </c>
      <c r="AD24" s="12">
        <f>0.3242*(10^-3)</f>
        <v>3.2420000000000002E-4</v>
      </c>
      <c r="AE24" s="186">
        <v>2.41E-2</v>
      </c>
      <c r="AF24" s="193">
        <f t="shared" si="1"/>
        <v>1.205E-2</v>
      </c>
    </row>
    <row r="25" spans="9:32" x14ac:dyDescent="0.25">
      <c r="L25" s="28">
        <f>IF(Fsw_Input&lt;100,1,IF(AND(Fsw_Input&gt;=100,Fsw_Input&lt;200),2,IF(AND(Fsw_Input&gt;=200,Fsw_Input&lt;400),3,IF(AND(Fsw_Input&gt;=400,Fsw_Input&lt;800),4,IF(Fsw_Input&gt;800,5,0)))))</f>
        <v>3</v>
      </c>
      <c r="M25" s="12" t="s">
        <v>171</v>
      </c>
      <c r="N25" s="19">
        <f>VLOOKUP(Freq_Selector,J2:S6,5,FALSE)</f>
        <v>0</v>
      </c>
      <c r="O25" s="12">
        <f>VLOOKUP(Freq_Selector,J2:S6,6,FALSE)</f>
        <v>0</v>
      </c>
      <c r="P25" s="12">
        <f>VLOOKUP(Freq_Selector,J2:S6,7,FALSE)</f>
        <v>0</v>
      </c>
      <c r="Q25" s="12">
        <f>VLOOKUP(Freq_Selector,J2:S6,8,FALSE)</f>
        <v>0</v>
      </c>
      <c r="R25" s="12">
        <f>VLOOKUP(Freq_Selector,J2:S6,9,FALSE)</f>
        <v>0</v>
      </c>
      <c r="S25" s="12">
        <f>VLOOKUP(Freq_Selector,J2:S6,10,FALSE)</f>
        <v>0</v>
      </c>
      <c r="T25" s="29">
        <f>((Ct2_3F35*(100^2))-(Ct1_3F35*100)+Ct_3F35)</f>
        <v>0</v>
      </c>
      <c r="X25" s="28">
        <f>41.6*(10^-3)</f>
        <v>4.1600000000000005E-2</v>
      </c>
      <c r="Y25" s="12">
        <v>11</v>
      </c>
      <c r="Z25" s="29">
        <v>41.37</v>
      </c>
      <c r="AC25" s="28">
        <v>33</v>
      </c>
      <c r="AD25" s="12">
        <f>0.2554*(10^-3)</f>
        <v>2.5540000000000003E-4</v>
      </c>
      <c r="AE25" s="186">
        <v>2.3599999999999999E-2</v>
      </c>
      <c r="AF25" s="193">
        <f t="shared" si="1"/>
        <v>1.18E-2</v>
      </c>
    </row>
    <row r="26" spans="9:32" ht="15.75" thickBot="1" x14ac:dyDescent="0.3">
      <c r="L26" s="28">
        <f>IF(Fsw_Input&lt;100,1,IF(AND(Fsw_Input&gt;=100,Fsw_Input&lt;200),2,IF(AND(Fsw_Input&gt;=200,Fsw_Input&lt;400),3,IF(AND(Fsw_Input&gt;=400,Fsw_Input&lt;800),4,IF(Fsw_Input&gt;800,5,0)))))</f>
        <v>3</v>
      </c>
      <c r="M26" s="12" t="s">
        <v>172</v>
      </c>
      <c r="N26" s="19">
        <f>VLOOKUP(Freq_Selector,J7:S11,5,FALSE)</f>
        <v>0</v>
      </c>
      <c r="O26" s="12">
        <f>VLOOKUP(Freq_Selector,J7:S11,6,FALSE)</f>
        <v>0</v>
      </c>
      <c r="P26" s="12">
        <f>VLOOKUP(Freq_Selector,J7:S11,7,FALSE)</f>
        <v>0</v>
      </c>
      <c r="Q26" s="12">
        <f>VLOOKUP(Freq_Selector,J7:S11,8,FALSE)</f>
        <v>0</v>
      </c>
      <c r="R26" s="12">
        <f>VLOOKUP(Freq_Selector,J7:S11,9,FALSE)</f>
        <v>0</v>
      </c>
      <c r="S26" s="12">
        <f>VLOOKUP(Freq_Selector,J7:S11,10,FALSE)</f>
        <v>0</v>
      </c>
      <c r="T26" s="29">
        <f>((Ct2_3F36*(100^2))-(Ct1_3F36*100)+Ct_3F36)</f>
        <v>0</v>
      </c>
      <c r="X26" s="30">
        <f>52.41*(10^-3)</f>
        <v>5.2409999999999998E-2</v>
      </c>
      <c r="Y26" s="31">
        <v>10</v>
      </c>
      <c r="Z26" s="32">
        <v>32.9</v>
      </c>
      <c r="AC26" s="30">
        <v>34</v>
      </c>
      <c r="AD26" s="31">
        <f>0.2011*(10^-3)</f>
        <v>2.0110000000000001E-4</v>
      </c>
      <c r="AE26" s="194">
        <v>1.9099999999999999E-2</v>
      </c>
      <c r="AF26" s="195">
        <f t="shared" si="1"/>
        <v>9.5499999999999995E-3</v>
      </c>
    </row>
    <row r="27" spans="9:32" x14ac:dyDescent="0.25">
      <c r="I27" s="5"/>
      <c r="L27" s="28">
        <f>IF(Fsw_Input&lt;100,1,IF(AND(Fsw_Input&gt;=100,Fsw_Input&lt;200),2,IF(AND(Fsw_Input&gt;=200,Fsw_Input&lt;400),3,IF(AND(Fsw_Input&gt;=400,Fsw_Input&lt;800),4,IF(Fsw_Input&gt;800,5,0)))))</f>
        <v>3</v>
      </c>
      <c r="M27" s="12" t="s">
        <v>222</v>
      </c>
      <c r="N27" s="19">
        <f>VLOOKUP(Freq_Selector,J12:S16,5,FALSE)</f>
        <v>1.1900000000000001E-4</v>
      </c>
      <c r="O27" s="12">
        <f>VLOOKUP(Freq_Selector,J12:S16,6,FALSE)</f>
        <v>2.2400000000000002</v>
      </c>
      <c r="P27" s="12">
        <f>VLOOKUP(Freq_Selector,J12:S16,7,FALSE)</f>
        <v>2.66</v>
      </c>
      <c r="Q27" s="12">
        <f>VLOOKUP(Freq_Selector,J12:S16,8,FALSE)</f>
        <v>2.0800000000000001E-4</v>
      </c>
      <c r="R27" s="12">
        <f>VLOOKUP(Freq_Selector,J12:S16,9,FALSE)</f>
        <v>4.3700000000000003E-2</v>
      </c>
      <c r="S27" s="12">
        <f>VLOOKUP(Freq_Selector,J12:S16,10,FALSE)</f>
        <v>3.29</v>
      </c>
      <c r="T27" s="29">
        <f>((Ct2_3C92*(100^2))-(Ct1_3C92*100)+Ct_3C92)</f>
        <v>1</v>
      </c>
    </row>
    <row r="28" spans="9:32" ht="15.75" thickBot="1" x14ac:dyDescent="0.3">
      <c r="L28" s="30">
        <f>IF(Fsw_Input&lt;100,1,IF(AND(Fsw_Input&gt;=100,Fsw_Input&lt;200),2,IF(AND(Fsw_Input&gt;=200,Fsw_Input&lt;400),3,IF(AND(Fsw_Input&gt;=400,Fsw_Input&lt;800),4,IF(Fsw_Input&gt;800,5,0)))))</f>
        <v>3</v>
      </c>
      <c r="M28" s="31" t="s">
        <v>223</v>
      </c>
      <c r="N28" s="36">
        <f>VLOOKUP(Freq_Selector,J17:S21,5,FALSE)</f>
        <v>9.1700000000000006E-5</v>
      </c>
      <c r="O28" s="31">
        <f>VLOOKUP(Freq_Selector,J17:S21,6,FALSE)</f>
        <v>2.2200000000000002</v>
      </c>
      <c r="P28" s="31">
        <f>VLOOKUP(Freq_Selector,J17:S21,7,FALSE)</f>
        <v>2.46</v>
      </c>
      <c r="Q28" s="31">
        <f>VLOOKUP(Freq_Selector,J17:S21,8,FALSE)</f>
        <v>2.3300000000000003E-4</v>
      </c>
      <c r="R28" s="31">
        <f>VLOOKUP(Freq_Selector,J17:S21,9,FALSE)</f>
        <v>4.7199999999999999E-2</v>
      </c>
      <c r="S28" s="31">
        <f>VLOOKUP(Freq_Selector,J17:S21,10,FALSE)</f>
        <v>3.39</v>
      </c>
      <c r="T28" s="32">
        <f>((Ct2_3C96*(100^2))-(Ct1_3C96*100)+Ct_3C96)</f>
        <v>1.0000000000000004</v>
      </c>
    </row>
  </sheetData>
  <sortState ref="B2:H7">
    <sortCondition descending="1" ref="B2"/>
  </sortState>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9"/>
  <sheetViews>
    <sheetView zoomScale="115" zoomScaleNormal="115" workbookViewId="0">
      <pane xSplit="2" topLeftCell="AT1" activePane="topRight" state="frozen"/>
      <selection pane="topRight" activeCell="BA20" sqref="BA20"/>
    </sheetView>
  </sheetViews>
  <sheetFormatPr defaultRowHeight="15" x14ac:dyDescent="0.25"/>
  <cols>
    <col min="15" max="15" width="12" bestFit="1" customWidth="1"/>
    <col min="16" max="16" width="12" style="2" bestFit="1" customWidth="1"/>
    <col min="17" max="18" width="12" style="2" customWidth="1"/>
    <col min="20" max="20" width="9.5703125" bestFit="1" customWidth="1"/>
    <col min="23" max="23" width="12" bestFit="1" customWidth="1"/>
    <col min="26" max="26" width="9.7109375" customWidth="1"/>
    <col min="54" max="54" width="10" customWidth="1"/>
    <col min="55" max="56" width="10.85546875" customWidth="1"/>
    <col min="58" max="58" width="10.7109375" customWidth="1"/>
    <col min="64" max="64" width="13.42578125" bestFit="1" customWidth="1"/>
    <col min="65" max="65" width="12.28515625" bestFit="1" customWidth="1"/>
  </cols>
  <sheetData>
    <row r="1" spans="1:65" x14ac:dyDescent="0.25">
      <c r="D1" s="311" t="s">
        <v>436</v>
      </c>
      <c r="E1" s="311"/>
      <c r="F1" s="202"/>
      <c r="G1" t="s">
        <v>437</v>
      </c>
      <c r="I1" s="311" t="s">
        <v>500</v>
      </c>
      <c r="J1" s="311"/>
      <c r="K1" s="311"/>
      <c r="L1" s="311"/>
      <c r="M1" s="311"/>
      <c r="N1" s="311"/>
      <c r="O1" s="311"/>
      <c r="P1" s="311"/>
      <c r="Q1" s="311"/>
      <c r="R1" s="311"/>
      <c r="S1" s="11" t="s">
        <v>501</v>
      </c>
      <c r="T1" s="11"/>
      <c r="U1" s="11"/>
      <c r="V1" s="11"/>
      <c r="W1" s="11"/>
      <c r="X1" s="11" t="s">
        <v>502</v>
      </c>
      <c r="Y1" s="11"/>
      <c r="Z1" s="11"/>
      <c r="AA1" s="11"/>
      <c r="AB1" s="11"/>
      <c r="AD1" s="311" t="s">
        <v>503</v>
      </c>
      <c r="AE1" s="311"/>
      <c r="AF1" s="311"/>
      <c r="AG1" s="311"/>
      <c r="AH1" s="311"/>
      <c r="AI1" s="311"/>
      <c r="AJ1" s="311"/>
      <c r="AK1" s="311"/>
      <c r="AL1" s="311"/>
      <c r="AM1" s="311"/>
      <c r="AN1" s="311"/>
      <c r="AO1" s="311"/>
      <c r="AP1" s="311"/>
      <c r="AQ1" s="311"/>
      <c r="AR1" s="311"/>
      <c r="AS1" t="s">
        <v>511</v>
      </c>
      <c r="AT1" s="311" t="s">
        <v>515</v>
      </c>
      <c r="AU1" s="311"/>
      <c r="AV1" t="s">
        <v>518</v>
      </c>
      <c r="AW1" t="s">
        <v>521</v>
      </c>
      <c r="AY1" s="311" t="s">
        <v>530</v>
      </c>
      <c r="AZ1" s="311"/>
      <c r="BA1" s="311"/>
    </row>
    <row r="2" spans="1:65" x14ac:dyDescent="0.2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row>
    <row r="3" spans="1:65" s="14" customFormat="1" ht="75" x14ac:dyDescent="0.25">
      <c r="A3" s="14" t="s">
        <v>549</v>
      </c>
      <c r="B3" s="14" t="s">
        <v>115</v>
      </c>
      <c r="C3" s="14" t="s">
        <v>284</v>
      </c>
      <c r="D3" s="14" t="s">
        <v>492</v>
      </c>
      <c r="E3" s="14" t="s">
        <v>493</v>
      </c>
      <c r="F3" s="14" t="s">
        <v>544</v>
      </c>
      <c r="G3" s="14" t="s">
        <v>491</v>
      </c>
      <c r="H3" s="14" t="s">
        <v>490</v>
      </c>
      <c r="I3" s="14" t="s">
        <v>488</v>
      </c>
      <c r="J3" s="14" t="s">
        <v>489</v>
      </c>
      <c r="K3" s="14" t="s">
        <v>498</v>
      </c>
      <c r="L3" s="14" t="s">
        <v>119</v>
      </c>
      <c r="M3" s="14" t="s">
        <v>540</v>
      </c>
      <c r="N3" s="14" t="s">
        <v>541</v>
      </c>
      <c r="O3" s="224" t="s">
        <v>497</v>
      </c>
      <c r="P3" s="20" t="s">
        <v>496</v>
      </c>
      <c r="Q3" s="20" t="s">
        <v>505</v>
      </c>
      <c r="R3" s="20" t="s">
        <v>438</v>
      </c>
      <c r="S3" s="14" t="s">
        <v>506</v>
      </c>
      <c r="T3" s="14" t="s">
        <v>439</v>
      </c>
      <c r="U3" s="14" t="s">
        <v>528</v>
      </c>
      <c r="V3" s="14" t="s">
        <v>440</v>
      </c>
      <c r="W3" s="14" t="s">
        <v>594</v>
      </c>
      <c r="X3" s="14" t="s">
        <v>499</v>
      </c>
      <c r="Y3" s="14" t="s">
        <v>545</v>
      </c>
      <c r="Z3" s="14" t="s">
        <v>495</v>
      </c>
      <c r="AA3" s="14" t="s">
        <v>494</v>
      </c>
      <c r="AB3" s="14" t="s">
        <v>120</v>
      </c>
      <c r="AC3" s="14" t="s">
        <v>286</v>
      </c>
      <c r="AD3" s="14" t="s">
        <v>504</v>
      </c>
      <c r="AE3" s="14" t="s">
        <v>507</v>
      </c>
      <c r="AF3" s="14" t="s">
        <v>508</v>
      </c>
      <c r="AG3" s="14" t="s">
        <v>509</v>
      </c>
      <c r="AH3" s="14" t="s">
        <v>514</v>
      </c>
      <c r="AI3" s="14" t="s">
        <v>510</v>
      </c>
      <c r="AJ3" s="14" t="s">
        <v>533</v>
      </c>
      <c r="AK3" s="14" t="s">
        <v>534</v>
      </c>
      <c r="AL3" s="14" t="s">
        <v>542</v>
      </c>
      <c r="AM3" s="14" t="s">
        <v>537</v>
      </c>
      <c r="AN3" s="14" t="s">
        <v>535</v>
      </c>
      <c r="AO3" s="14" t="s">
        <v>536</v>
      </c>
      <c r="AP3" s="14" t="s">
        <v>538</v>
      </c>
      <c r="AQ3" s="14" t="s">
        <v>539</v>
      </c>
      <c r="AR3" s="14" t="s">
        <v>543</v>
      </c>
      <c r="AS3" s="14" t="s">
        <v>513</v>
      </c>
      <c r="AT3" s="14" t="s">
        <v>516</v>
      </c>
      <c r="AU3" s="14" t="s">
        <v>529</v>
      </c>
      <c r="AV3" s="14" t="s">
        <v>519</v>
      </c>
      <c r="AW3" s="220" t="s">
        <v>520</v>
      </c>
      <c r="AX3" s="14" t="s">
        <v>522</v>
      </c>
      <c r="AY3" s="14" t="s">
        <v>512</v>
      </c>
      <c r="AZ3" s="14" t="s">
        <v>532</v>
      </c>
      <c r="BA3" s="14" t="s">
        <v>531</v>
      </c>
      <c r="BB3" s="14" t="s">
        <v>546</v>
      </c>
      <c r="BC3" s="14" t="s">
        <v>547</v>
      </c>
      <c r="BD3" s="14" t="s">
        <v>548</v>
      </c>
      <c r="BE3" s="14" t="s">
        <v>917</v>
      </c>
      <c r="BF3" s="14" t="s">
        <v>665</v>
      </c>
      <c r="BG3" s="14" t="s">
        <v>668</v>
      </c>
      <c r="BH3" s="14" t="s">
        <v>737</v>
      </c>
      <c r="BI3" s="14" t="s">
        <v>920</v>
      </c>
      <c r="BJ3" s="14" t="s">
        <v>918</v>
      </c>
      <c r="BK3" s="14" t="s">
        <v>919</v>
      </c>
      <c r="BL3" s="14" t="s">
        <v>946</v>
      </c>
      <c r="BM3" s="14" t="s">
        <v>947</v>
      </c>
    </row>
    <row r="4" spans="1:65" x14ac:dyDescent="0.25">
      <c r="A4">
        <v>1</v>
      </c>
      <c r="B4" t="s">
        <v>116</v>
      </c>
      <c r="C4">
        <v>1</v>
      </c>
      <c r="D4">
        <v>7.5</v>
      </c>
      <c r="E4">
        <v>100</v>
      </c>
      <c r="F4">
        <v>100</v>
      </c>
      <c r="G4">
        <f>IF(C4=1,E4-ABS(VoutPri_FBB),0)</f>
        <v>91</v>
      </c>
      <c r="H4">
        <v>1.2250000000000001</v>
      </c>
      <c r="I4">
        <v>50</v>
      </c>
      <c r="J4">
        <v>1000</v>
      </c>
      <c r="K4">
        <v>1</v>
      </c>
      <c r="L4">
        <f>9*10^-11</f>
        <v>8.9999999999999999E-11</v>
      </c>
      <c r="M4">
        <v>0</v>
      </c>
      <c r="N4" s="2">
        <f>1-(Fsw*P4)</f>
        <v>0.95679999999999998</v>
      </c>
      <c r="O4" s="1">
        <v>0</v>
      </c>
      <c r="P4" s="2">
        <f>144*10^-9</f>
        <v>1.4400000000000002E-7</v>
      </c>
      <c r="Q4" s="218">
        <v>1</v>
      </c>
      <c r="R4" s="2">
        <v>7.6</v>
      </c>
      <c r="S4">
        <v>0</v>
      </c>
      <c r="T4">
        <v>0.8</v>
      </c>
      <c r="U4" s="223">
        <f>20*10^-9</f>
        <v>2E-8</v>
      </c>
      <c r="V4">
        <v>0.45</v>
      </c>
      <c r="W4" s="223">
        <f>20*10^-9</f>
        <v>2E-8</v>
      </c>
      <c r="X4">
        <v>0</v>
      </c>
      <c r="Y4" t="s">
        <v>517</v>
      </c>
      <c r="Z4" s="202" t="s">
        <v>517</v>
      </c>
      <c r="AA4">
        <v>0.7</v>
      </c>
      <c r="AB4">
        <v>1.3</v>
      </c>
      <c r="AD4">
        <v>1</v>
      </c>
      <c r="AE4">
        <v>1</v>
      </c>
      <c r="AF4">
        <v>1</v>
      </c>
      <c r="AG4">
        <v>1</v>
      </c>
      <c r="AH4">
        <v>2</v>
      </c>
      <c r="AI4">
        <v>0</v>
      </c>
      <c r="AJ4">
        <v>0</v>
      </c>
      <c r="AK4">
        <v>0</v>
      </c>
      <c r="AL4">
        <v>0</v>
      </c>
      <c r="AM4">
        <v>0</v>
      </c>
      <c r="AN4">
        <v>0</v>
      </c>
      <c r="AO4">
        <v>0</v>
      </c>
      <c r="AP4">
        <v>0</v>
      </c>
      <c r="AQ4">
        <v>0</v>
      </c>
      <c r="AR4" t="s">
        <v>517</v>
      </c>
      <c r="AS4">
        <v>2</v>
      </c>
      <c r="AT4">
        <v>0</v>
      </c>
      <c r="AU4" t="s">
        <v>517</v>
      </c>
      <c r="AV4">
        <v>1</v>
      </c>
      <c r="AW4">
        <v>1</v>
      </c>
      <c r="AX4">
        <v>1</v>
      </c>
      <c r="AY4">
        <v>0</v>
      </c>
      <c r="AZ4">
        <v>0</v>
      </c>
      <c r="BA4">
        <v>0</v>
      </c>
      <c r="BB4">
        <f t="shared" ref="BB4:BC7" si="0">IF(AND(Vout1&lt;&gt;0,Iout1&lt;&gt;0),1,0)+IF(AND(Vout2&lt;&gt;0,Iout2&lt;&gt;0),1,0)+IF(AND(Vout3&lt;&gt;0,Iout3&lt;&gt;0),1,0)+IF(AND(Vout4&lt;&gt;0,Iout4&lt;&gt;0),1,0)+IF(AND(Vout5&lt;&gt;0,Iout5&lt;&gt;0),1,0)+IF(AND(Vout6&lt;&gt;0,Iout6&lt;&gt;0),1,0)</f>
        <v>2</v>
      </c>
      <c r="BC4">
        <f t="shared" si="0"/>
        <v>2</v>
      </c>
      <c r="BD4">
        <v>1</v>
      </c>
      <c r="BE4">
        <f>SUM(S4,X4,AE4,AF4,AG4,AH4,AJ4,AK4,AM4,AN4,AO4,AP4,AQ4,AS4,AT4,AV4,AW4,AX4,AY4,AZ4,BA4,BB4,BC4,Q4,K4,BD4)</f>
        <v>17</v>
      </c>
      <c r="BI4">
        <f>(K4*$BF$23)+(Q4*$BF$22)+(S4*$BF$27)+(X4*$BF$23)+(AE4*$BF$22)+(AF4*$BF$22)+(AG4*$BF$22)+(AH4*$BF$23)+(AV4*$BF$22)+(AY4*$BF$23)+(AZ4*$BF$22)+(BA4*$BF$26)+(BB4*$BF$26)+(BC4*$BF$21)+(BD4*$BF$24)+(AT4*$BF$22)+(AS4*$BF$23)+BI21</f>
        <v>4.5162500000000003</v>
      </c>
      <c r="BK4">
        <f>(K4*$BF$23)+(Q4*$BF$22)+(S4*$BF427)+(X4*$BF$23)+(AE4*$BF$22)+(AF4*$BF$22)+(AV4*$BF$22)+(AY4*$BF$23)+(AZ4*$BF$22)+(BA4*$BF$26)+(BB4*$BF$26)+(BC4*$BF$21)+(BD4*$BF$24)+(AT4*$BF$22)+(AS4*$BF$23)+BI21</f>
        <v>4.3162500000000001</v>
      </c>
      <c r="BL4">
        <f>25*10^-9</f>
        <v>2.5000000000000002E-8</v>
      </c>
      <c r="BM4">
        <f>20*10^-9</f>
        <v>2E-8</v>
      </c>
    </row>
    <row r="5" spans="1:65" x14ac:dyDescent="0.25">
      <c r="A5">
        <v>2</v>
      </c>
      <c r="B5" t="s">
        <v>117</v>
      </c>
      <c r="C5">
        <v>1</v>
      </c>
      <c r="D5">
        <v>7.5</v>
      </c>
      <c r="E5">
        <v>100</v>
      </c>
      <c r="F5">
        <v>100</v>
      </c>
      <c r="G5">
        <f>IF(C5=1,E5-ABS(VoutPri_FBB),0)</f>
        <v>91</v>
      </c>
      <c r="H5">
        <v>1.2250000000000001</v>
      </c>
      <c r="I5">
        <v>50</v>
      </c>
      <c r="J5">
        <v>1000</v>
      </c>
      <c r="K5">
        <v>1</v>
      </c>
      <c r="L5">
        <f>9*10^-11</f>
        <v>8.9999999999999999E-11</v>
      </c>
      <c r="M5">
        <v>0</v>
      </c>
      <c r="N5" s="2">
        <f>1-(Fsw*P5)</f>
        <v>0.95679999999999998</v>
      </c>
      <c r="O5" s="1">
        <v>0</v>
      </c>
      <c r="P5" s="2">
        <f>144*10^-9</f>
        <v>1.4400000000000002E-7</v>
      </c>
      <c r="Q5" s="218">
        <v>1</v>
      </c>
      <c r="R5" s="2">
        <v>7.6</v>
      </c>
      <c r="S5">
        <v>0</v>
      </c>
      <c r="T5">
        <v>0.8</v>
      </c>
      <c r="U5" s="223">
        <f>20*10^-9</f>
        <v>2E-8</v>
      </c>
      <c r="V5">
        <v>0.45</v>
      </c>
      <c r="W5" s="223">
        <f>20*10^-9</f>
        <v>2E-8</v>
      </c>
      <c r="X5">
        <v>0</v>
      </c>
      <c r="Y5" t="s">
        <v>517</v>
      </c>
      <c r="Z5" s="202" t="s">
        <v>517</v>
      </c>
      <c r="AA5">
        <v>0.39</v>
      </c>
      <c r="AB5">
        <v>0.75</v>
      </c>
      <c r="AD5">
        <v>1</v>
      </c>
      <c r="AE5">
        <v>1</v>
      </c>
      <c r="AF5">
        <v>1</v>
      </c>
      <c r="AG5">
        <v>1</v>
      </c>
      <c r="AH5">
        <v>2</v>
      </c>
      <c r="AI5">
        <v>0</v>
      </c>
      <c r="AJ5">
        <v>0</v>
      </c>
      <c r="AK5">
        <v>0</v>
      </c>
      <c r="AL5">
        <v>0</v>
      </c>
      <c r="AM5">
        <v>0</v>
      </c>
      <c r="AN5">
        <v>0</v>
      </c>
      <c r="AO5">
        <v>0</v>
      </c>
      <c r="AP5">
        <v>0</v>
      </c>
      <c r="AQ5">
        <v>0</v>
      </c>
      <c r="AR5" t="s">
        <v>517</v>
      </c>
      <c r="AS5">
        <v>2</v>
      </c>
      <c r="AT5">
        <v>0</v>
      </c>
      <c r="AU5" t="s">
        <v>517</v>
      </c>
      <c r="AV5">
        <v>1</v>
      </c>
      <c r="AW5">
        <v>1</v>
      </c>
      <c r="AX5">
        <v>1</v>
      </c>
      <c r="AY5">
        <v>0</v>
      </c>
      <c r="AZ5">
        <v>0</v>
      </c>
      <c r="BA5">
        <v>0</v>
      </c>
      <c r="BB5">
        <f t="shared" si="0"/>
        <v>2</v>
      </c>
      <c r="BC5">
        <f t="shared" si="0"/>
        <v>2</v>
      </c>
      <c r="BD5">
        <v>1</v>
      </c>
      <c r="BE5">
        <f>SUM(S5,X5,AE5,AF5,AG5,AH5,AJ5,AK5,AM5,AN5,AO5,AP5,AQ5,AS5,AT5,AV5,AW5,AX5,AY5,AZ5,BA5,BB5,BC5,Q5,K5,BD5)</f>
        <v>17</v>
      </c>
      <c r="BI5">
        <f t="shared" ref="BI5:BI11" si="1">(K5*$BF$23)+(Q5*$BF$22)+(S5*$BF$27)+(X5*$BF$23)+(AE5*$BF$22)+(AF5*$BF$22)+(AG5*$BF$22)+(AH5*$BF$23)+(AV5*$BF$22)+(AY5*$BF$23)+(AZ5*$BF$22)+(BA5*$BF$26)+(BB5*$BF$26)+(BC5*$BF$21)+(BD5*$BF$24)+(AT5*$BF$22)+(AS5*$BF$23)+BI22</f>
        <v>4.3250000000000002</v>
      </c>
      <c r="BK5">
        <f>(K5*$BF$23)+(Q5*$BF$22)+(S5*$BF428)+(X5*$BF$23)+(AE5*$BF$22)+(AF5*$BF$22)+(AV5*$BF$22)+(AY5*$BF$23)+(AZ5*$BF$22)+(BA5*$BF$26)+(BB5*$BF$26)+(BC5*$BF$21)+(BD5*$BF$24)+(AT5*$BF$22)+(AS5*$BF$23)+BI22</f>
        <v>4.125</v>
      </c>
      <c r="BL5">
        <f>25*10^-9</f>
        <v>2.5000000000000002E-8</v>
      </c>
      <c r="BM5">
        <f>20*10^-9</f>
        <v>2E-8</v>
      </c>
    </row>
    <row r="6" spans="1:65" x14ac:dyDescent="0.25">
      <c r="A6">
        <v>3</v>
      </c>
      <c r="B6" t="s">
        <v>118</v>
      </c>
      <c r="C6">
        <v>1</v>
      </c>
      <c r="D6">
        <v>7.5</v>
      </c>
      <c r="E6">
        <v>100</v>
      </c>
      <c r="F6">
        <v>100</v>
      </c>
      <c r="G6">
        <f>IF(C6=1,E6-ABS(VoutPri_FBB),0)</f>
        <v>91</v>
      </c>
      <c r="H6">
        <v>1.2250000000000001</v>
      </c>
      <c r="I6">
        <v>50</v>
      </c>
      <c r="J6">
        <v>1000</v>
      </c>
      <c r="K6">
        <v>1</v>
      </c>
      <c r="L6">
        <f>9*10^-11</f>
        <v>8.9999999999999999E-11</v>
      </c>
      <c r="M6">
        <v>0</v>
      </c>
      <c r="N6" s="2">
        <f>1-(Fsw*P6)</f>
        <v>0.95679999999999998</v>
      </c>
      <c r="O6" s="1">
        <v>0</v>
      </c>
      <c r="P6" s="2">
        <f>144*10^-9</f>
        <v>1.4400000000000002E-7</v>
      </c>
      <c r="Q6" s="218">
        <v>1</v>
      </c>
      <c r="R6" s="2">
        <v>7.6</v>
      </c>
      <c r="S6">
        <v>0</v>
      </c>
      <c r="T6">
        <v>0.8</v>
      </c>
      <c r="U6" s="223">
        <f>20*10^-9</f>
        <v>2E-8</v>
      </c>
      <c r="V6">
        <v>0.45</v>
      </c>
      <c r="W6" s="223">
        <f>20*10^-9</f>
        <v>2E-8</v>
      </c>
      <c r="X6">
        <v>0</v>
      </c>
      <c r="Y6" t="s">
        <v>517</v>
      </c>
      <c r="Z6" s="202" t="s">
        <v>517</v>
      </c>
      <c r="AA6">
        <v>0.15</v>
      </c>
      <c r="AB6">
        <v>0.3</v>
      </c>
      <c r="AD6">
        <v>1</v>
      </c>
      <c r="AE6">
        <v>1</v>
      </c>
      <c r="AF6">
        <v>1</v>
      </c>
      <c r="AG6">
        <v>1</v>
      </c>
      <c r="AH6">
        <v>2</v>
      </c>
      <c r="AI6">
        <v>0</v>
      </c>
      <c r="AJ6">
        <v>0</v>
      </c>
      <c r="AK6">
        <v>0</v>
      </c>
      <c r="AL6">
        <v>0</v>
      </c>
      <c r="AM6">
        <v>0</v>
      </c>
      <c r="AN6">
        <v>0</v>
      </c>
      <c r="AO6">
        <v>0</v>
      </c>
      <c r="AP6">
        <v>0</v>
      </c>
      <c r="AQ6">
        <v>0</v>
      </c>
      <c r="AR6" t="s">
        <v>517</v>
      </c>
      <c r="AS6">
        <v>2</v>
      </c>
      <c r="AT6">
        <v>0</v>
      </c>
      <c r="AU6" t="s">
        <v>517</v>
      </c>
      <c r="AV6">
        <v>1</v>
      </c>
      <c r="AW6">
        <v>1</v>
      </c>
      <c r="AX6">
        <v>1</v>
      </c>
      <c r="AY6">
        <v>0</v>
      </c>
      <c r="AZ6">
        <v>0</v>
      </c>
      <c r="BA6">
        <v>0</v>
      </c>
      <c r="BB6">
        <f t="shared" si="0"/>
        <v>2</v>
      </c>
      <c r="BC6">
        <f t="shared" si="0"/>
        <v>2</v>
      </c>
      <c r="BD6">
        <v>1</v>
      </c>
      <c r="BE6">
        <f>SUM(S6,X6,AE6,AF6,AG6,AH6,AJ6,AK6,AM6,AN6,AO6,AP6,AQ6,AS6,AT6,AV6,AW6,AX6,AY6,AZ6,BA6,BB6,BC6,Q6,K6,BD6)</f>
        <v>17</v>
      </c>
      <c r="BI6">
        <f t="shared" si="1"/>
        <v>4.15625</v>
      </c>
      <c r="BK6">
        <f>(K6*$BF$23)+(Q6*$BF$22)+(S6*$BF429)+(X6*$BF$23)+(AE6*$BF$22)+(AF6*$BF$22)+(AV6*$BF$22)+(AY6*$BF$23)+(AZ6*$BF$22)+(BA6*$BF$26)+(BB6*$BF$26)+(BC6*$BF$21)+(BD6*$BF$24)+(AT6*$BF$22)+(AS6*$BF$23)+BI23</f>
        <v>3.9562499999999998</v>
      </c>
      <c r="BL6">
        <f>25*10^-9</f>
        <v>2.5000000000000002E-8</v>
      </c>
      <c r="BM6">
        <f>20*10^-9</f>
        <v>2E-8</v>
      </c>
    </row>
    <row r="7" spans="1:65" x14ac:dyDescent="0.25">
      <c r="A7">
        <v>4</v>
      </c>
      <c r="B7" t="s">
        <v>523</v>
      </c>
      <c r="C7">
        <v>1</v>
      </c>
      <c r="D7">
        <v>4.5</v>
      </c>
      <c r="E7">
        <v>65</v>
      </c>
      <c r="F7">
        <v>70</v>
      </c>
      <c r="G7">
        <f>IF(C7=1,E7-ABS(VoutPri_FBB),0)</f>
        <v>56</v>
      </c>
      <c r="H7">
        <v>2</v>
      </c>
      <c r="I7">
        <v>50</v>
      </c>
      <c r="J7">
        <v>1000</v>
      </c>
      <c r="K7">
        <v>1</v>
      </c>
      <c r="L7">
        <f>9*10^-11</f>
        <v>8.9999999999999999E-11</v>
      </c>
      <c r="M7">
        <v>0</v>
      </c>
      <c r="N7" s="2">
        <f>1-(Fsw*P7)</f>
        <v>0.94899999999999995</v>
      </c>
      <c r="O7" s="1">
        <v>0</v>
      </c>
      <c r="P7" s="2">
        <f>170*10^-9</f>
        <v>1.7000000000000001E-7</v>
      </c>
      <c r="Q7" s="218">
        <v>1</v>
      </c>
      <c r="R7" s="2">
        <v>7.5</v>
      </c>
      <c r="S7">
        <v>0</v>
      </c>
      <c r="T7">
        <v>0.28999999999999998</v>
      </c>
      <c r="U7" s="223">
        <f>20*10^-9</f>
        <v>2E-8</v>
      </c>
      <c r="V7">
        <v>0.13</v>
      </c>
      <c r="W7" s="223">
        <f>20*10^-9</f>
        <v>2E-8</v>
      </c>
      <c r="X7">
        <v>0</v>
      </c>
      <c r="Y7" t="s">
        <v>517</v>
      </c>
      <c r="Z7" s="202" t="s">
        <v>517</v>
      </c>
      <c r="AA7">
        <v>1.9</v>
      </c>
      <c r="AB7">
        <v>2.5</v>
      </c>
      <c r="AD7">
        <v>1</v>
      </c>
      <c r="AE7">
        <v>1</v>
      </c>
      <c r="AF7">
        <v>1</v>
      </c>
      <c r="AG7">
        <v>1</v>
      </c>
      <c r="AH7">
        <v>2</v>
      </c>
      <c r="AI7">
        <v>0</v>
      </c>
      <c r="AJ7">
        <v>0</v>
      </c>
      <c r="AK7">
        <v>0</v>
      </c>
      <c r="AL7">
        <v>0</v>
      </c>
      <c r="AM7">
        <v>0</v>
      </c>
      <c r="AN7">
        <v>0</v>
      </c>
      <c r="AO7">
        <v>0</v>
      </c>
      <c r="AP7">
        <v>0</v>
      </c>
      <c r="AQ7">
        <v>0</v>
      </c>
      <c r="AR7" t="s">
        <v>517</v>
      </c>
      <c r="AS7">
        <v>2</v>
      </c>
      <c r="AT7">
        <v>1</v>
      </c>
      <c r="AU7" s="217">
        <f>10*10^-6</f>
        <v>9.9999999999999991E-6</v>
      </c>
      <c r="AV7">
        <v>1</v>
      </c>
      <c r="AW7">
        <v>1</v>
      </c>
      <c r="AX7">
        <v>1</v>
      </c>
      <c r="AY7">
        <v>0</v>
      </c>
      <c r="AZ7">
        <v>0</v>
      </c>
      <c r="BA7">
        <v>0</v>
      </c>
      <c r="BB7">
        <f t="shared" si="0"/>
        <v>2</v>
      </c>
      <c r="BC7">
        <f t="shared" si="0"/>
        <v>2</v>
      </c>
      <c r="BD7">
        <v>1</v>
      </c>
      <c r="BE7">
        <f>SUM(S7,X7,AE7,AF7,AG7,AH7,AJ7,AK7,AM7,AN7,AO7,AP7,AQ7,AS7,AT7,AV7,AW7,AX7,AY7,AZ7,BA7,BB7,BC7,Q7,K7,BD7)</f>
        <v>18</v>
      </c>
      <c r="BI7">
        <f t="shared" si="1"/>
        <v>5.1180000000000003</v>
      </c>
      <c r="BK7">
        <f>(K7*$BF$23)+(Q7*$BF$22)+(S7*$BF430)+(X7*$BF$23)+(AE7*$BF$22)+(AF7*$BF$22)+(AV7*$BF$22)+(AY7*$BF$23)+(AZ7*$BF$22)+(BA7*$BF$26)+(BB7*$BF$26)+(BC7*$BF$21)+(BD7*$BF$24)+(AT7*$BF$22)+(AS7*$BF$23)+BI24</f>
        <v>4.9179999999999993</v>
      </c>
      <c r="BL7">
        <f>25*10^-9</f>
        <v>2.5000000000000002E-8</v>
      </c>
      <c r="BM7">
        <f>20*10^-9</f>
        <v>2E-8</v>
      </c>
    </row>
    <row r="8" spans="1:65" x14ac:dyDescent="0.25">
      <c r="A8">
        <v>5</v>
      </c>
      <c r="B8" t="s">
        <v>285</v>
      </c>
      <c r="C8">
        <v>2</v>
      </c>
      <c r="D8">
        <v>10</v>
      </c>
      <c r="E8">
        <v>100</v>
      </c>
      <c r="F8" s="202" t="s">
        <v>517</v>
      </c>
      <c r="G8" s="202" t="s">
        <v>517</v>
      </c>
      <c r="H8">
        <v>1.25</v>
      </c>
      <c r="I8">
        <v>50</v>
      </c>
      <c r="J8">
        <v>1000</v>
      </c>
      <c r="K8">
        <v>1</v>
      </c>
      <c r="L8">
        <v>0</v>
      </c>
      <c r="M8">
        <v>0</v>
      </c>
      <c r="N8">
        <v>75</v>
      </c>
      <c r="O8" s="1">
        <v>0</v>
      </c>
      <c r="P8" s="2">
        <v>0</v>
      </c>
      <c r="Q8" s="218">
        <v>1</v>
      </c>
      <c r="R8" s="2">
        <v>7.7</v>
      </c>
      <c r="S8">
        <v>1</v>
      </c>
      <c r="T8" s="221" t="s">
        <v>517</v>
      </c>
      <c r="U8" s="202" t="s">
        <v>517</v>
      </c>
      <c r="V8" s="219">
        <f>'Flyback CCM'!B73/(1000)</f>
        <v>5.0000000000000001E-3</v>
      </c>
      <c r="W8" s="223">
        <f>'Flyback CCM'!B74/(10^9)</f>
        <v>9.9999999999999995E-8</v>
      </c>
      <c r="X8">
        <v>1</v>
      </c>
      <c r="Y8" s="219">
        <f>'Flyback CCM'!$B$68/1000</f>
        <v>0.12</v>
      </c>
      <c r="Z8">
        <v>0.5</v>
      </c>
      <c r="AA8" s="202" t="s">
        <v>517</v>
      </c>
      <c r="AB8" s="202" t="s">
        <v>517</v>
      </c>
      <c r="AC8" s="202" t="s">
        <v>517</v>
      </c>
      <c r="AD8">
        <v>2</v>
      </c>
      <c r="AE8">
        <v>1</v>
      </c>
      <c r="AF8">
        <v>1</v>
      </c>
      <c r="AG8">
        <v>1</v>
      </c>
      <c r="AH8">
        <v>2</v>
      </c>
      <c r="AI8">
        <v>1</v>
      </c>
      <c r="AJ8">
        <v>1</v>
      </c>
      <c r="AK8">
        <v>0</v>
      </c>
      <c r="AL8">
        <v>5000</v>
      </c>
      <c r="AM8">
        <v>1</v>
      </c>
      <c r="AN8">
        <v>1</v>
      </c>
      <c r="AO8">
        <v>1</v>
      </c>
      <c r="AP8">
        <v>1</v>
      </c>
      <c r="AQ8">
        <v>1</v>
      </c>
      <c r="AR8">
        <v>0.105</v>
      </c>
      <c r="AS8">
        <v>2</v>
      </c>
      <c r="AT8">
        <v>1</v>
      </c>
      <c r="AU8" s="217">
        <f>10*10^-6</f>
        <v>9.9999999999999991E-6</v>
      </c>
      <c r="AV8">
        <v>0</v>
      </c>
      <c r="AW8">
        <v>1</v>
      </c>
      <c r="AX8">
        <v>0</v>
      </c>
      <c r="AY8">
        <v>1</v>
      </c>
      <c r="AZ8">
        <v>1</v>
      </c>
      <c r="BA8">
        <v>1</v>
      </c>
      <c r="BB8">
        <f t="shared" ref="BB8:BC15" si="2">IF(AND(Vout1&lt;&gt;0,Iout1&lt;&gt;0),1,0)+IF(AND(Vout2&lt;&gt;0,Iout2&lt;&gt;0),1,0)+IF(AND(Vout3&lt;&gt;0,Iout3&lt;&gt;0),1,0)+IF(AND(Vout4&lt;&gt;0,Iout4&lt;&gt;0),1,0)+IF(AND(Vout5&lt;&gt;0,Iout5&lt;&gt;0),1,0)+IF(AND(Vout6&lt;&gt;0,Iout6&lt;&gt;0),1,0)+IF(AND(VOUTAUX&lt;&gt;0,IoutAux&lt;&gt;0),1,0)</f>
        <v>3</v>
      </c>
      <c r="BC8">
        <f t="shared" si="2"/>
        <v>3</v>
      </c>
      <c r="BD8">
        <v>1</v>
      </c>
      <c r="BE8" s="219">
        <f>SUM(S8,X8,AE8,AF8,AG8,AH8,AS8,AT8,AV8,AW8,AX8,AY8,AZ8,BA8,BB8,BC8,Q8,K8,BD8)</f>
        <v>23</v>
      </c>
      <c r="BF8">
        <v>1</v>
      </c>
      <c r="BG8">
        <f>BF8*Y8</f>
        <v>0.12</v>
      </c>
      <c r="BH8">
        <v>5</v>
      </c>
      <c r="BI8">
        <f t="shared" si="1"/>
        <v>5.15</v>
      </c>
      <c r="BJ8">
        <f>SUM(S8,X8,AH8,AJ8,AK8,AM8,AN8,AO8,AP8,AQ8,AS8,AT8,AV8,AW8,AX8,AY8,AZ8,BA8,BB8,BC8,Q8,K8,BD8)</f>
        <v>26</v>
      </c>
      <c r="BK8">
        <f>(K8*$BF$23)+(Q8*$BF$22)+(S8*$BF$27)+(X8*$BF$23)+(AH8*$BF$23)+(AJ8*$BF$28)+(AK8*$BF$23)+(AM8*$BF$22)+(AN8*$BF$23)+(AO8*$BF$23)+(AQ8*$BF$29)+(AP8*$BF$22)+(AV8*$BF$22)+(AY8*$BF$23)+(AZ8*$BF$22)+(BA8*$BF$26)+(BB8*$BF$26)+(BC8*$BF$21)+(BD8*$BF$24)+(AT8*$BF$22)+(AS8*$BF$23)+BI25</f>
        <v>5.37</v>
      </c>
      <c r="BL8">
        <v>0</v>
      </c>
      <c r="BM8">
        <v>0</v>
      </c>
    </row>
    <row r="9" spans="1:65" x14ac:dyDescent="0.25">
      <c r="A9">
        <v>6</v>
      </c>
      <c r="B9" t="s">
        <v>433</v>
      </c>
      <c r="C9">
        <v>2</v>
      </c>
      <c r="D9">
        <v>8</v>
      </c>
      <c r="E9">
        <v>30</v>
      </c>
      <c r="F9" s="202" t="s">
        <v>517</v>
      </c>
      <c r="G9" s="202" t="s">
        <v>517</v>
      </c>
      <c r="H9">
        <v>0</v>
      </c>
      <c r="I9">
        <v>50</v>
      </c>
      <c r="J9">
        <v>1000</v>
      </c>
      <c r="K9">
        <v>1</v>
      </c>
      <c r="L9">
        <v>0</v>
      </c>
      <c r="M9">
        <v>0</v>
      </c>
      <c r="N9">
        <v>75</v>
      </c>
      <c r="O9" s="1">
        <v>0</v>
      </c>
      <c r="P9" s="2">
        <v>0</v>
      </c>
      <c r="Q9" s="218">
        <v>1</v>
      </c>
      <c r="R9" s="2">
        <v>7</v>
      </c>
      <c r="S9">
        <v>1</v>
      </c>
      <c r="T9" s="221" t="s">
        <v>517</v>
      </c>
      <c r="U9" s="202" t="s">
        <v>517</v>
      </c>
      <c r="V9" s="219">
        <f>'Flyback CCM'!B73/(1000)</f>
        <v>5.0000000000000001E-3</v>
      </c>
      <c r="W9" s="223">
        <f>'Flyback CCM'!B74/(10^9)</f>
        <v>9.9999999999999995E-8</v>
      </c>
      <c r="X9">
        <v>1</v>
      </c>
      <c r="Y9" s="219">
        <f>'Flyback CCM'!$B$68/1000</f>
        <v>0.12</v>
      </c>
      <c r="Z9">
        <v>0.5</v>
      </c>
      <c r="AA9" s="202" t="s">
        <v>517</v>
      </c>
      <c r="AB9" s="202" t="s">
        <v>517</v>
      </c>
      <c r="AC9" s="202" t="s">
        <v>517</v>
      </c>
      <c r="AD9">
        <v>3</v>
      </c>
      <c r="AE9" s="225">
        <v>0</v>
      </c>
      <c r="AF9" s="225">
        <v>0</v>
      </c>
      <c r="AG9" s="225">
        <v>0</v>
      </c>
      <c r="AH9">
        <v>2</v>
      </c>
      <c r="AI9">
        <v>1</v>
      </c>
      <c r="AJ9">
        <v>1</v>
      </c>
      <c r="AK9">
        <v>0</v>
      </c>
      <c r="AL9">
        <v>5000</v>
      </c>
      <c r="AM9">
        <v>1</v>
      </c>
      <c r="AN9">
        <v>1</v>
      </c>
      <c r="AO9">
        <v>1</v>
      </c>
      <c r="AP9">
        <v>1</v>
      </c>
      <c r="AQ9">
        <v>1</v>
      </c>
      <c r="AR9">
        <v>0.09</v>
      </c>
      <c r="AS9">
        <v>2</v>
      </c>
      <c r="AT9">
        <v>1</v>
      </c>
      <c r="AU9" s="217">
        <f>10*10^-6</f>
        <v>9.9999999999999991E-6</v>
      </c>
      <c r="AV9">
        <v>0</v>
      </c>
      <c r="AW9">
        <v>1</v>
      </c>
      <c r="AX9">
        <v>0</v>
      </c>
      <c r="AY9">
        <v>1</v>
      </c>
      <c r="AZ9">
        <v>1</v>
      </c>
      <c r="BA9">
        <v>1</v>
      </c>
      <c r="BB9">
        <f t="shared" si="2"/>
        <v>3</v>
      </c>
      <c r="BC9">
        <f t="shared" si="2"/>
        <v>3</v>
      </c>
      <c r="BD9">
        <v>1</v>
      </c>
      <c r="BE9" s="219">
        <f t="shared" ref="BE9:BE15" si="3">SUM(S9,X9,AE9,AF9,AG9,AH9,AS9,AT9,AV9,AW9,AX9,AY9,AZ9,BA9,BB9,BC9,Q9,K9,BD9)</f>
        <v>20</v>
      </c>
      <c r="BF9">
        <v>1</v>
      </c>
      <c r="BG9">
        <f t="shared" ref="BG9:BG15" si="4">BF9*Y9</f>
        <v>0.12</v>
      </c>
      <c r="BH9">
        <v>5.2</v>
      </c>
      <c r="BI9">
        <f t="shared" si="1"/>
        <v>4.5129999999999999</v>
      </c>
      <c r="BJ9">
        <f t="shared" ref="BJ9:BJ15" si="5">SUM(S9,X9,AH9,AJ9,AK9,AM9,AN9,AO9,AP9,AQ9,AS9,AT9,AV9,AW9,AX9,AY9,AZ9,BA9,BB9,BC9,Q9,K9,BD9)</f>
        <v>26</v>
      </c>
      <c r="BK9">
        <f>(K9*$BF$23)+(Q9*$BF$22)+(S9*$BF$27)+(X9*$BF$23)+(AH9*$BF$23)+(AJ9*$BF$28)+(AK9*$BF$23)+(AM9*$BF$22)+(AN9*$BF$23)+(AO9*$BF$23)+(AQ9*$BF$29)+(AP9*$BF$22)+(AV9*$BF$22)+(AY9*$BF$23)+(AZ9*$BF$22)+(BA9*$BF$26)+(BB9*$BF$26)+(BC9*$BF$21)+(BD9*$BF$24)+(AT9*$BF$22)+(AS9*$BF$23)+BI26</f>
        <v>5.0329999999999995</v>
      </c>
      <c r="BL9">
        <v>0</v>
      </c>
      <c r="BM9">
        <v>0</v>
      </c>
    </row>
    <row r="10" spans="1:65" x14ac:dyDescent="0.25">
      <c r="A10">
        <v>7</v>
      </c>
      <c r="B10" t="s">
        <v>434</v>
      </c>
      <c r="C10">
        <v>2</v>
      </c>
      <c r="D10">
        <v>6</v>
      </c>
      <c r="E10">
        <v>65</v>
      </c>
      <c r="F10" s="202" t="s">
        <v>517</v>
      </c>
      <c r="G10" s="202" t="s">
        <v>517</v>
      </c>
      <c r="H10">
        <v>1.25</v>
      </c>
      <c r="I10">
        <v>50</v>
      </c>
      <c r="J10">
        <v>2000</v>
      </c>
      <c r="K10">
        <v>1</v>
      </c>
      <c r="L10">
        <v>0</v>
      </c>
      <c r="M10">
        <v>0</v>
      </c>
      <c r="N10">
        <v>90</v>
      </c>
      <c r="O10" s="1">
        <v>0</v>
      </c>
      <c r="P10" s="2">
        <v>0</v>
      </c>
      <c r="Q10" s="218">
        <v>1</v>
      </c>
      <c r="R10" s="2">
        <v>7</v>
      </c>
      <c r="S10">
        <v>1</v>
      </c>
      <c r="T10" s="221" t="s">
        <v>517</v>
      </c>
      <c r="U10" s="202" t="s">
        <v>517</v>
      </c>
      <c r="V10" s="219">
        <f>'Flyback CCM'!B73/(1000)</f>
        <v>5.0000000000000001E-3</v>
      </c>
      <c r="W10" s="223">
        <f>'Flyback CCM'!B74/(10^9)</f>
        <v>9.9999999999999995E-8</v>
      </c>
      <c r="X10">
        <v>1</v>
      </c>
      <c r="Y10" s="219">
        <f>'Flyback CCM'!$B$68/1000</f>
        <v>0.12</v>
      </c>
      <c r="Z10">
        <v>0.5</v>
      </c>
      <c r="AA10" s="202" t="s">
        <v>517</v>
      </c>
      <c r="AB10" s="202" t="s">
        <v>517</v>
      </c>
      <c r="AC10" s="202" t="s">
        <v>517</v>
      </c>
      <c r="AD10">
        <v>2</v>
      </c>
      <c r="AE10" s="225">
        <v>1</v>
      </c>
      <c r="AF10" s="225">
        <v>1</v>
      </c>
      <c r="AG10" s="225">
        <v>1</v>
      </c>
      <c r="AH10">
        <v>2</v>
      </c>
      <c r="AI10">
        <v>1</v>
      </c>
      <c r="AJ10">
        <v>1</v>
      </c>
      <c r="AK10">
        <v>0</v>
      </c>
      <c r="AL10">
        <v>5000</v>
      </c>
      <c r="AM10">
        <v>1</v>
      </c>
      <c r="AN10">
        <v>1</v>
      </c>
      <c r="AO10">
        <v>1</v>
      </c>
      <c r="AP10">
        <v>1</v>
      </c>
      <c r="AQ10">
        <v>1</v>
      </c>
      <c r="AR10">
        <v>0.105</v>
      </c>
      <c r="AS10">
        <v>2</v>
      </c>
      <c r="AT10">
        <v>1</v>
      </c>
      <c r="AU10" s="217">
        <f>10*10^-6</f>
        <v>9.9999999999999991E-6</v>
      </c>
      <c r="AV10">
        <v>0</v>
      </c>
      <c r="AW10">
        <v>1</v>
      </c>
      <c r="AX10">
        <v>0</v>
      </c>
      <c r="AY10">
        <v>1</v>
      </c>
      <c r="AZ10">
        <v>1</v>
      </c>
      <c r="BA10">
        <v>1</v>
      </c>
      <c r="BB10">
        <f t="shared" si="2"/>
        <v>3</v>
      </c>
      <c r="BC10">
        <f t="shared" si="2"/>
        <v>3</v>
      </c>
      <c r="BD10">
        <v>1</v>
      </c>
      <c r="BE10" s="219">
        <f t="shared" si="3"/>
        <v>23</v>
      </c>
      <c r="BF10">
        <v>1</v>
      </c>
      <c r="BG10">
        <f t="shared" si="4"/>
        <v>0.12</v>
      </c>
      <c r="BH10">
        <v>5</v>
      </c>
      <c r="BI10">
        <f t="shared" si="1"/>
        <v>5.2625000000000002</v>
      </c>
      <c r="BJ10">
        <f t="shared" si="5"/>
        <v>26</v>
      </c>
      <c r="BK10">
        <f>(K10*$BF$23)+(Q10*$BF$22)+(S10*$BF$27)+(X10*$BF$23)+(AH10*$BF$23)+(AJ10*$BF$28)+(AK10*$BF$23)+(AM10*$BF$22)+(AN10*$BF$23)+(AO10*$BF$23)+(AQ10*$BF$29)+(AP10*$BF$22)+(AV10*$BF$22)+(AY10*$BF$23)+(AZ10*$BF$22)+(BA10*$BF$26)+(BB10*$BF$26)+(BC10*$BF$21)+(BD10*$BF$24)+(AT10*$BF$22)+(AS10*$BF$23)+BI27</f>
        <v>5.4824999999999999</v>
      </c>
      <c r="BL10">
        <v>0</v>
      </c>
      <c r="BM10">
        <v>0</v>
      </c>
    </row>
    <row r="11" spans="1:65" x14ac:dyDescent="0.25">
      <c r="A11">
        <v>8</v>
      </c>
      <c r="B11" t="s">
        <v>435</v>
      </c>
      <c r="C11">
        <v>2</v>
      </c>
      <c r="D11">
        <v>3.1</v>
      </c>
      <c r="E11">
        <v>75</v>
      </c>
      <c r="F11">
        <v>75</v>
      </c>
      <c r="G11" s="202" t="s">
        <v>517</v>
      </c>
      <c r="H11">
        <v>1.26</v>
      </c>
      <c r="I11">
        <v>50</v>
      </c>
      <c r="J11">
        <v>1500</v>
      </c>
      <c r="K11">
        <v>1</v>
      </c>
      <c r="L11">
        <v>0</v>
      </c>
      <c r="M11">
        <v>0</v>
      </c>
      <c r="N11">
        <v>85</v>
      </c>
      <c r="O11" s="1">
        <v>0</v>
      </c>
      <c r="P11" s="2">
        <v>0</v>
      </c>
      <c r="Q11" s="218">
        <v>1</v>
      </c>
      <c r="R11" s="2">
        <v>6.85</v>
      </c>
      <c r="S11">
        <v>0</v>
      </c>
      <c r="T11" s="221" t="s">
        <v>517</v>
      </c>
      <c r="U11" s="202" t="s">
        <v>517</v>
      </c>
      <c r="V11" s="219">
        <v>0.49</v>
      </c>
      <c r="W11" s="223">
        <f>45*10^-9</f>
        <v>4.5000000000000006E-8</v>
      </c>
      <c r="X11">
        <v>0</v>
      </c>
      <c r="Y11">
        <v>0.05</v>
      </c>
      <c r="Z11">
        <v>1.5</v>
      </c>
      <c r="AA11" s="202">
        <v>0.8</v>
      </c>
      <c r="AB11" s="202">
        <v>1</v>
      </c>
      <c r="AC11" s="202" t="s">
        <v>517</v>
      </c>
      <c r="AD11">
        <v>2</v>
      </c>
      <c r="AE11" s="225">
        <v>1</v>
      </c>
      <c r="AF11" s="225">
        <v>1</v>
      </c>
      <c r="AG11" s="225">
        <v>1</v>
      </c>
      <c r="AH11">
        <v>2</v>
      </c>
      <c r="AI11">
        <v>1</v>
      </c>
      <c r="AJ11">
        <v>1</v>
      </c>
      <c r="AK11">
        <v>0</v>
      </c>
      <c r="AL11">
        <v>5000</v>
      </c>
      <c r="AM11">
        <v>1</v>
      </c>
      <c r="AN11">
        <v>1</v>
      </c>
      <c r="AO11">
        <v>1</v>
      </c>
      <c r="AP11">
        <v>1</v>
      </c>
      <c r="AQ11">
        <v>1</v>
      </c>
      <c r="AR11">
        <v>0.45</v>
      </c>
      <c r="AS11">
        <v>2</v>
      </c>
      <c r="AT11">
        <v>0</v>
      </c>
      <c r="AU11" s="217">
        <v>0</v>
      </c>
      <c r="AV11">
        <v>0</v>
      </c>
      <c r="AW11">
        <v>1</v>
      </c>
      <c r="AX11">
        <v>0</v>
      </c>
      <c r="AY11">
        <v>1</v>
      </c>
      <c r="AZ11">
        <v>1</v>
      </c>
      <c r="BA11">
        <v>1</v>
      </c>
      <c r="BB11">
        <f t="shared" si="2"/>
        <v>3</v>
      </c>
      <c r="BC11">
        <f t="shared" si="2"/>
        <v>3</v>
      </c>
      <c r="BD11">
        <v>1</v>
      </c>
      <c r="BE11" s="219">
        <f t="shared" si="3"/>
        <v>20</v>
      </c>
      <c r="BF11">
        <f>30*0.7</f>
        <v>21</v>
      </c>
      <c r="BG11">
        <f t="shared" si="4"/>
        <v>1.05</v>
      </c>
      <c r="BH11">
        <v>5</v>
      </c>
      <c r="BI11">
        <f t="shared" si="1"/>
        <v>5.34375</v>
      </c>
      <c r="BJ11">
        <f t="shared" si="5"/>
        <v>23</v>
      </c>
      <c r="BK11">
        <f>(K11*$BF$23)+(Q11*$BF$22)+(S11*$BF$27)+(X11*$BF$23)+(AH11*$BF$23)+(AJ11*$BF$28)+(AK11*$BF$23)+(AM11*$BF$22)+(AN11*$BF$23)+(AO11*$BF$23)+(AQ11*$BF$29)+(AP11*$BF$22)+(AV11*$BF$22)+(AY11*$BF$23)+(AZ11*$BF$22)+(BA11*$BF$26)+(BB11*$BF$26)+(BC11*$BF$21)+(BD11*$BF$24)+(AT11*$BF$22)+(AS11*$BF$23)+BI28</f>
        <v>5.5637500000000006</v>
      </c>
      <c r="BL11">
        <v>0</v>
      </c>
      <c r="BM11">
        <v>0</v>
      </c>
    </row>
    <row r="12" spans="1:65" x14ac:dyDescent="0.25">
      <c r="A12">
        <v>9</v>
      </c>
      <c r="B12" t="s">
        <v>285</v>
      </c>
      <c r="C12">
        <v>2</v>
      </c>
      <c r="D12">
        <v>10</v>
      </c>
      <c r="E12">
        <v>100</v>
      </c>
      <c r="F12" s="202" t="s">
        <v>517</v>
      </c>
      <c r="G12" s="202" t="s">
        <v>517</v>
      </c>
      <c r="H12">
        <v>1.25</v>
      </c>
      <c r="I12">
        <v>50</v>
      </c>
      <c r="J12">
        <v>1000</v>
      </c>
      <c r="K12">
        <v>1</v>
      </c>
      <c r="L12">
        <v>0</v>
      </c>
      <c r="M12">
        <v>0</v>
      </c>
      <c r="N12">
        <v>75</v>
      </c>
      <c r="O12" s="1">
        <v>0</v>
      </c>
      <c r="P12" s="2">
        <v>0</v>
      </c>
      <c r="Q12" s="218">
        <v>1</v>
      </c>
      <c r="R12" s="2">
        <v>7.7</v>
      </c>
      <c r="S12">
        <v>1</v>
      </c>
      <c r="T12" s="221" t="s">
        <v>517</v>
      </c>
      <c r="U12" s="202" t="s">
        <v>517</v>
      </c>
      <c r="V12" s="219">
        <f>'Flyback DCM'!B70/(1000)</f>
        <v>5.0000000000000001E-3</v>
      </c>
      <c r="W12" s="223">
        <f>'Flyback DCM'!B71/(10^9)</f>
        <v>4.9999999999999998E-8</v>
      </c>
      <c r="X12">
        <v>1</v>
      </c>
      <c r="Y12" s="219">
        <f>'Flyback DCM'!$B$65/1000</f>
        <v>8.3000000000000004E-2</v>
      </c>
      <c r="Z12">
        <v>0.5</v>
      </c>
      <c r="AA12" s="202" t="s">
        <v>517</v>
      </c>
      <c r="AB12" s="202" t="s">
        <v>517</v>
      </c>
      <c r="AC12" s="202" t="s">
        <v>517</v>
      </c>
      <c r="AD12">
        <v>2</v>
      </c>
      <c r="AE12">
        <v>1</v>
      </c>
      <c r="AF12">
        <v>1</v>
      </c>
      <c r="AG12">
        <v>1</v>
      </c>
      <c r="AH12">
        <v>2</v>
      </c>
      <c r="AI12">
        <v>1</v>
      </c>
      <c r="AJ12">
        <v>1</v>
      </c>
      <c r="AK12">
        <v>0</v>
      </c>
      <c r="AL12">
        <v>5000</v>
      </c>
      <c r="AM12">
        <v>1</v>
      </c>
      <c r="AN12">
        <v>1</v>
      </c>
      <c r="AO12">
        <v>1</v>
      </c>
      <c r="AP12">
        <v>1</v>
      </c>
      <c r="AQ12">
        <v>1</v>
      </c>
      <c r="AR12">
        <v>0.105</v>
      </c>
      <c r="AS12">
        <v>2</v>
      </c>
      <c r="AT12">
        <v>1</v>
      </c>
      <c r="AU12" s="217">
        <f>10*10^-6</f>
        <v>9.9999999999999991E-6</v>
      </c>
      <c r="AV12">
        <v>0</v>
      </c>
      <c r="AW12">
        <v>1</v>
      </c>
      <c r="AX12">
        <v>0</v>
      </c>
      <c r="AY12">
        <v>1</v>
      </c>
      <c r="AZ12">
        <v>1</v>
      </c>
      <c r="BA12">
        <v>1</v>
      </c>
      <c r="BB12">
        <f t="shared" si="2"/>
        <v>3</v>
      </c>
      <c r="BC12">
        <f t="shared" si="2"/>
        <v>3</v>
      </c>
      <c r="BD12">
        <v>1</v>
      </c>
      <c r="BE12" s="219">
        <f t="shared" si="3"/>
        <v>23</v>
      </c>
      <c r="BF12">
        <v>1</v>
      </c>
      <c r="BG12">
        <f t="shared" si="4"/>
        <v>8.3000000000000004E-2</v>
      </c>
      <c r="BH12">
        <v>5</v>
      </c>
      <c r="BI12">
        <f>(K12*$BF$23)+(Q12*$BF$22)+(S12*$BF$27)+(X12*$BF$23)+(AE12*$BF$22)+(AF12*$BF$22)+(AG12*$BF$22)+(AH12*$BF$23)+(AV12*$BF$22)+(AY12*$BF$23)+(AZ12*$BF$22)+(BA12*$BF$26)+(BB12*$BF$26)+(BC12*$BF$21)+(BD12*$BF$24)+(AT12*$BF$22)+(AS12*$BF$23)+BI25</f>
        <v>5.15</v>
      </c>
      <c r="BJ12">
        <f t="shared" si="5"/>
        <v>26</v>
      </c>
      <c r="BK12">
        <f>(K12*$BF$23)+(Q12*$BF$22)+(S12*$BF$27)+(X12*$BF$23)+(AH12*$BF$23)+(AJ12*$BF$28)+(AK12*$BF$23)+(AM12*$BF$22)+(AN12*$BF$23)+(AO12*$BF$23)+(AQ12*$BF$29)+(AP12*$BF$22)+(AV12*$BF$22)+(AY12*$BF$23)+(AZ12*$BF$22)+(BA12*$BF$26)+(BB12*$BF$26)+(BC12*$BF$21)+(BD12*$BF$24)+(AT12*$BF$22)+(AS12*$BF$23)+BI25</f>
        <v>5.37</v>
      </c>
      <c r="BL12">
        <v>0</v>
      </c>
      <c r="BM12">
        <v>0</v>
      </c>
    </row>
    <row r="13" spans="1:65" x14ac:dyDescent="0.25">
      <c r="A13">
        <v>10</v>
      </c>
      <c r="B13" t="s">
        <v>433</v>
      </c>
      <c r="C13">
        <v>2</v>
      </c>
      <c r="D13">
        <v>8</v>
      </c>
      <c r="E13">
        <v>30</v>
      </c>
      <c r="F13" s="202" t="s">
        <v>517</v>
      </c>
      <c r="G13" s="202" t="s">
        <v>517</v>
      </c>
      <c r="H13">
        <v>0</v>
      </c>
      <c r="I13">
        <v>50</v>
      </c>
      <c r="J13">
        <v>1000</v>
      </c>
      <c r="K13">
        <v>1</v>
      </c>
      <c r="L13">
        <v>0</v>
      </c>
      <c r="M13">
        <v>0</v>
      </c>
      <c r="N13">
        <v>75</v>
      </c>
      <c r="O13" s="1">
        <v>0</v>
      </c>
      <c r="P13" s="2">
        <v>0</v>
      </c>
      <c r="Q13" s="218">
        <v>1</v>
      </c>
      <c r="R13" s="2">
        <v>7</v>
      </c>
      <c r="S13">
        <v>1</v>
      </c>
      <c r="T13" s="221" t="s">
        <v>517</v>
      </c>
      <c r="U13" s="202" t="s">
        <v>517</v>
      </c>
      <c r="V13" s="219">
        <f>'Flyback DCM'!B70/(1000)</f>
        <v>5.0000000000000001E-3</v>
      </c>
      <c r="W13" s="223">
        <f>'Flyback DCM'!B71/(10^9)</f>
        <v>4.9999999999999998E-8</v>
      </c>
      <c r="X13">
        <v>1</v>
      </c>
      <c r="Y13" s="219">
        <f>'Flyback DCM'!$B$65/1000</f>
        <v>8.3000000000000004E-2</v>
      </c>
      <c r="Z13">
        <v>0.5</v>
      </c>
      <c r="AA13" s="202" t="s">
        <v>517</v>
      </c>
      <c r="AB13" s="202" t="s">
        <v>517</v>
      </c>
      <c r="AC13" s="202" t="s">
        <v>517</v>
      </c>
      <c r="AD13">
        <v>3</v>
      </c>
      <c r="AE13" s="225">
        <v>0</v>
      </c>
      <c r="AF13" s="225">
        <v>0</v>
      </c>
      <c r="AG13" s="225">
        <v>0</v>
      </c>
      <c r="AH13">
        <v>2</v>
      </c>
      <c r="AI13">
        <v>1</v>
      </c>
      <c r="AJ13">
        <v>1</v>
      </c>
      <c r="AK13">
        <v>0</v>
      </c>
      <c r="AL13">
        <v>5000</v>
      </c>
      <c r="AM13">
        <v>1</v>
      </c>
      <c r="AN13">
        <v>1</v>
      </c>
      <c r="AO13">
        <v>1</v>
      </c>
      <c r="AP13">
        <v>1</v>
      </c>
      <c r="AQ13">
        <v>1</v>
      </c>
      <c r="AR13">
        <v>0.09</v>
      </c>
      <c r="AS13">
        <v>2</v>
      </c>
      <c r="AT13">
        <v>1</v>
      </c>
      <c r="AU13" s="217">
        <f>10*10^-6</f>
        <v>9.9999999999999991E-6</v>
      </c>
      <c r="AV13">
        <v>0</v>
      </c>
      <c r="AW13">
        <v>1</v>
      </c>
      <c r="AX13">
        <v>0</v>
      </c>
      <c r="AY13">
        <v>1</v>
      </c>
      <c r="AZ13">
        <v>1</v>
      </c>
      <c r="BA13">
        <v>1</v>
      </c>
      <c r="BB13">
        <f t="shared" si="2"/>
        <v>3</v>
      </c>
      <c r="BC13">
        <f t="shared" si="2"/>
        <v>3</v>
      </c>
      <c r="BD13">
        <v>1</v>
      </c>
      <c r="BE13" s="219">
        <f t="shared" si="3"/>
        <v>20</v>
      </c>
      <c r="BF13">
        <v>1</v>
      </c>
      <c r="BG13">
        <f t="shared" si="4"/>
        <v>8.3000000000000004E-2</v>
      </c>
      <c r="BH13">
        <v>5.2</v>
      </c>
      <c r="BI13">
        <f>(K13*$BF$23)+(Q13*$BF$22)+(S13*$BF$27)+(X13*$BF$23)+(AE13*$BF$22)+(AF13*$BF$22)+(AG13*$BF$22)+(AH13*$BF$23)+(AV13*$BF$22)+(AY13*$BF$23)+(AZ13*$BF$22)+(BA13*$BF$26)+(BB13*$BF$26)+(BC13*$BF$21)+(BD13*$BF$24)+(AT13*$BF$22)+(AS13*$BF$23)+BI26</f>
        <v>4.5129999999999999</v>
      </c>
      <c r="BJ13">
        <f t="shared" si="5"/>
        <v>26</v>
      </c>
      <c r="BK13">
        <f>(K13*$BF$23)+(Q13*$BF$22)+(S13*$BF$27)+(X13*$BF$23)+(AH13*$BF$23)+(AJ13*$BF$28)+(AK13*$BF$23)+(AM13*$BF$22)+(AN13*$BF$23)+(AO13*$BF$23)+(AQ13*$BF$29)+(AP13*$BF$22)+(AV13*$BF$22)+(AY13*$BF$23)+(AZ13*$BF$22)+(BA13*$BF$26)+(BB13*$BF$26)+(BC13*$BF$21)+(BD13*$BF$24)+(AT13*$BF$22)+(AS13*$BF$23)+BI26</f>
        <v>5.0329999999999995</v>
      </c>
      <c r="BL13">
        <v>0</v>
      </c>
      <c r="BM13">
        <v>0</v>
      </c>
    </row>
    <row r="14" spans="1:65" x14ac:dyDescent="0.25">
      <c r="A14">
        <v>11</v>
      </c>
      <c r="B14" t="s">
        <v>434</v>
      </c>
      <c r="C14">
        <v>2</v>
      </c>
      <c r="D14">
        <v>6</v>
      </c>
      <c r="E14">
        <v>65</v>
      </c>
      <c r="F14" s="202" t="s">
        <v>517</v>
      </c>
      <c r="G14" s="202" t="s">
        <v>517</v>
      </c>
      <c r="H14">
        <v>1.25</v>
      </c>
      <c r="I14">
        <v>50</v>
      </c>
      <c r="J14">
        <v>2000</v>
      </c>
      <c r="K14">
        <v>1</v>
      </c>
      <c r="L14">
        <v>0</v>
      </c>
      <c r="M14">
        <v>0</v>
      </c>
      <c r="N14">
        <v>90</v>
      </c>
      <c r="O14" s="1">
        <v>0</v>
      </c>
      <c r="P14" s="2">
        <v>0</v>
      </c>
      <c r="Q14" s="218">
        <v>1</v>
      </c>
      <c r="R14" s="2">
        <v>7</v>
      </c>
      <c r="S14">
        <v>1</v>
      </c>
      <c r="T14" s="221" t="s">
        <v>517</v>
      </c>
      <c r="U14" s="202" t="s">
        <v>517</v>
      </c>
      <c r="V14" s="219">
        <f>'Flyback DCM'!B70/(1000)</f>
        <v>5.0000000000000001E-3</v>
      </c>
      <c r="W14" s="223">
        <f>'Flyback DCM'!B71/(10^9)</f>
        <v>4.9999999999999998E-8</v>
      </c>
      <c r="X14">
        <v>1</v>
      </c>
      <c r="Y14" s="219">
        <f>'Flyback DCM'!$B$65/1000</f>
        <v>8.3000000000000004E-2</v>
      </c>
      <c r="Z14">
        <v>0.5</v>
      </c>
      <c r="AA14" s="202" t="s">
        <v>517</v>
      </c>
      <c r="AB14" s="202" t="s">
        <v>517</v>
      </c>
      <c r="AC14" s="202" t="s">
        <v>517</v>
      </c>
      <c r="AD14">
        <v>2</v>
      </c>
      <c r="AE14" s="225">
        <v>1</v>
      </c>
      <c r="AF14" s="225">
        <v>1</v>
      </c>
      <c r="AG14" s="225">
        <v>1</v>
      </c>
      <c r="AH14">
        <v>2</v>
      </c>
      <c r="AI14">
        <v>1</v>
      </c>
      <c r="AJ14">
        <v>1</v>
      </c>
      <c r="AK14">
        <v>0</v>
      </c>
      <c r="AL14">
        <v>5000</v>
      </c>
      <c r="AM14">
        <v>1</v>
      </c>
      <c r="AN14">
        <v>1</v>
      </c>
      <c r="AO14">
        <v>1</v>
      </c>
      <c r="AP14">
        <v>1</v>
      </c>
      <c r="AQ14">
        <v>1</v>
      </c>
      <c r="AR14">
        <v>0.105</v>
      </c>
      <c r="AS14">
        <v>2</v>
      </c>
      <c r="AT14">
        <v>1</v>
      </c>
      <c r="AU14" s="217">
        <f>10*10^-6</f>
        <v>9.9999999999999991E-6</v>
      </c>
      <c r="AV14">
        <v>0</v>
      </c>
      <c r="AW14">
        <v>1</v>
      </c>
      <c r="AX14">
        <v>0</v>
      </c>
      <c r="AY14">
        <v>1</v>
      </c>
      <c r="AZ14">
        <v>1</v>
      </c>
      <c r="BA14">
        <v>1</v>
      </c>
      <c r="BB14">
        <f t="shared" si="2"/>
        <v>3</v>
      </c>
      <c r="BC14">
        <f t="shared" si="2"/>
        <v>3</v>
      </c>
      <c r="BD14">
        <v>1</v>
      </c>
      <c r="BE14" s="219">
        <f t="shared" si="3"/>
        <v>23</v>
      </c>
      <c r="BF14">
        <v>1</v>
      </c>
      <c r="BG14">
        <f t="shared" si="4"/>
        <v>8.3000000000000004E-2</v>
      </c>
      <c r="BH14">
        <v>5</v>
      </c>
      <c r="BI14">
        <f>(K14*$BF$23)+(Q14*$BF$22)+(S14*$BF$27)+(X14*$BF$23)+(AE14*$BF$22)+(AF14*$BF$22)+(AG14*$BF$22)+(AH14*$BF$23)+(AV14*$BF$22)+(AY14*$BF$23)+(AZ14*$BF$22)+(BA14*$BF$26)+(BB14*$BF$26)+(BC14*$BF$21)+(BD14*$BF$24)+(AT14*$BF$22)+(AS14*$BF$23)+BI27</f>
        <v>5.2625000000000002</v>
      </c>
      <c r="BJ14">
        <f t="shared" si="5"/>
        <v>26</v>
      </c>
      <c r="BK14">
        <f>(K14*$BF$23)+(Q14*$BF$22)+(S14*$BF$27)+(X14*$BF$23)+(AH14*$BF$23)+(AJ14*$BF$28)+(AK14*$BF$23)+(AM14*$BF$22)+(AN14*$BF$23)+(AO14*$BF$23)+(AQ14*$BF$29)+(AP14*$BF$22)+(AV14*$BF$22)+(AY14*$BF$23)+(AZ14*$BF$22)+(BA14*$BF$26)+(BB14*$BF$26)+(BC14*$BF$21)+(BD14*$BF$24)+(AT14*$BF$22)+(AS14*$BF$23)+BI27</f>
        <v>5.4824999999999999</v>
      </c>
      <c r="BL14">
        <v>0</v>
      </c>
      <c r="BM14">
        <v>0</v>
      </c>
    </row>
    <row r="15" spans="1:65" x14ac:dyDescent="0.25">
      <c r="A15">
        <v>12</v>
      </c>
      <c r="B15" t="s">
        <v>435</v>
      </c>
      <c r="C15">
        <v>2</v>
      </c>
      <c r="D15">
        <v>3.1</v>
      </c>
      <c r="E15">
        <v>75</v>
      </c>
      <c r="F15">
        <v>75</v>
      </c>
      <c r="G15" s="202" t="s">
        <v>517</v>
      </c>
      <c r="H15">
        <v>1.26</v>
      </c>
      <c r="I15">
        <v>50</v>
      </c>
      <c r="J15">
        <v>1500</v>
      </c>
      <c r="K15">
        <v>1</v>
      </c>
      <c r="L15">
        <v>0</v>
      </c>
      <c r="M15">
        <v>0</v>
      </c>
      <c r="N15">
        <v>85</v>
      </c>
      <c r="O15" s="1">
        <v>0</v>
      </c>
      <c r="P15" s="2">
        <v>0</v>
      </c>
      <c r="Q15" s="218">
        <v>1</v>
      </c>
      <c r="R15" s="2">
        <v>6.85</v>
      </c>
      <c r="S15">
        <v>0</v>
      </c>
      <c r="T15" s="221" t="s">
        <v>517</v>
      </c>
      <c r="U15" s="202" t="s">
        <v>517</v>
      </c>
      <c r="V15" s="219">
        <v>0.49</v>
      </c>
      <c r="W15" s="223">
        <f>45*10^-9</f>
        <v>4.5000000000000006E-8</v>
      </c>
      <c r="X15">
        <v>0</v>
      </c>
      <c r="Y15">
        <v>0.05</v>
      </c>
      <c r="Z15">
        <v>1.5</v>
      </c>
      <c r="AA15" s="202">
        <v>0.8</v>
      </c>
      <c r="AB15" s="202">
        <v>1</v>
      </c>
      <c r="AC15" s="202" t="s">
        <v>517</v>
      </c>
      <c r="AD15">
        <v>2</v>
      </c>
      <c r="AE15" s="225">
        <v>1</v>
      </c>
      <c r="AF15" s="225">
        <v>1</v>
      </c>
      <c r="AG15" s="225">
        <v>1</v>
      </c>
      <c r="AH15">
        <v>2</v>
      </c>
      <c r="AI15">
        <v>1</v>
      </c>
      <c r="AJ15">
        <v>1</v>
      </c>
      <c r="AK15">
        <v>0</v>
      </c>
      <c r="AL15">
        <v>5000</v>
      </c>
      <c r="AM15">
        <v>1</v>
      </c>
      <c r="AN15">
        <v>1</v>
      </c>
      <c r="AO15">
        <v>1</v>
      </c>
      <c r="AP15">
        <v>1</v>
      </c>
      <c r="AQ15">
        <v>1</v>
      </c>
      <c r="AR15">
        <v>0.45</v>
      </c>
      <c r="AS15">
        <v>2</v>
      </c>
      <c r="AT15">
        <v>0</v>
      </c>
      <c r="AU15" s="217">
        <v>0</v>
      </c>
      <c r="AV15">
        <v>0</v>
      </c>
      <c r="AW15">
        <v>1</v>
      </c>
      <c r="AX15">
        <v>0</v>
      </c>
      <c r="AY15">
        <v>1</v>
      </c>
      <c r="AZ15">
        <v>1</v>
      </c>
      <c r="BA15">
        <v>1</v>
      </c>
      <c r="BB15">
        <f t="shared" si="2"/>
        <v>3</v>
      </c>
      <c r="BC15">
        <f t="shared" si="2"/>
        <v>3</v>
      </c>
      <c r="BD15">
        <v>1</v>
      </c>
      <c r="BE15" s="219">
        <f t="shared" si="3"/>
        <v>20</v>
      </c>
      <c r="BF15">
        <f>30*0.7</f>
        <v>21</v>
      </c>
      <c r="BG15">
        <f t="shared" si="4"/>
        <v>1.05</v>
      </c>
      <c r="BH15">
        <v>5</v>
      </c>
      <c r="BI15">
        <f>(K15*$BF$23)+(Q15*$BF$22)+(S15*$BF$27)+(X15*$BF$23)+(AE15*$BF$22)+(AF15*$BF$22)+(AG15*$BF$22)+(AH15*$BF$23)+(AV15*$BF$22)+(AY15*$BF$23)+(AZ15*$BF$22)+(BA15*$BF$26)+(BB15*$BF$26)+(BC15*$BF$21)+(BD15*$BF$24)+(AT15*$BF$22)+(AS15*$BF$23)+BI28</f>
        <v>5.34375</v>
      </c>
      <c r="BJ15">
        <f t="shared" si="5"/>
        <v>23</v>
      </c>
      <c r="BK15">
        <f>(K15*$BF$23)+(Q15*$BF$22)+(S15*$BF$27)+(X15*$BF$23)+(AH15*$BF$23)+(AJ15*$BF$28)+(AK15*$BF$23)+(AM15*$BF$22)+(AN15*$BF$23)+(AO15*$BF$23)+(AQ15*$BF$29)+(AP15*$BF$22)+(AV15*$BF$22)+(AY15*$BF$23)+(AZ15*$BF$22)+(BA15*$BF$26)+(BB15*$BF$26)+(BC15*$BF$21)+(BD15*$BF$24)+(AT15*$BF$22)+(AS15*$BF$23)+BI28</f>
        <v>5.5637500000000006</v>
      </c>
      <c r="BL15">
        <v>0</v>
      </c>
      <c r="BM15">
        <v>0</v>
      </c>
    </row>
    <row r="16" spans="1:65" x14ac:dyDescent="0.25">
      <c r="Q16" s="218"/>
    </row>
    <row r="20" spans="51:61" ht="30" x14ac:dyDescent="0.25">
      <c r="BE20" s="14" t="s">
        <v>927</v>
      </c>
      <c r="BF20" s="14" t="s">
        <v>928</v>
      </c>
    </row>
    <row r="21" spans="51:61" x14ac:dyDescent="0.25">
      <c r="BE21" s="1" t="s">
        <v>921</v>
      </c>
      <c r="BF21" s="1">
        <v>0.2</v>
      </c>
      <c r="BH21" t="s">
        <v>116</v>
      </c>
      <c r="BI21">
        <v>1.7662500000000001</v>
      </c>
    </row>
    <row r="22" spans="51:61" x14ac:dyDescent="0.25">
      <c r="AY22">
        <f>BI6/BI11</f>
        <v>0.77777777777777779</v>
      </c>
      <c r="BE22" s="1" t="s">
        <v>922</v>
      </c>
      <c r="BF22" s="1">
        <v>0.1</v>
      </c>
      <c r="BH22" t="s">
        <v>117</v>
      </c>
      <c r="BI22">
        <v>1.575</v>
      </c>
    </row>
    <row r="23" spans="51:61" x14ac:dyDescent="0.25">
      <c r="AY23">
        <f>BI4/BI12</f>
        <v>0.87694174757281551</v>
      </c>
      <c r="BE23" s="1" t="s">
        <v>923</v>
      </c>
      <c r="BF23" s="1">
        <v>0.05</v>
      </c>
      <c r="BH23" t="s">
        <v>118</v>
      </c>
      <c r="BI23">
        <v>1.40625</v>
      </c>
    </row>
    <row r="24" spans="51:61" x14ac:dyDescent="0.25">
      <c r="BE24" s="1" t="s">
        <v>548</v>
      </c>
      <c r="BF24" s="1">
        <v>1</v>
      </c>
      <c r="BH24" t="s">
        <v>523</v>
      </c>
      <c r="BI24">
        <v>2.2679999999999998</v>
      </c>
    </row>
    <row r="25" spans="51:61" x14ac:dyDescent="0.25">
      <c r="BE25" s="1" t="s">
        <v>924</v>
      </c>
      <c r="BF25" s="1">
        <v>0.1</v>
      </c>
      <c r="BH25" t="s">
        <v>285</v>
      </c>
      <c r="BI25">
        <v>0.9</v>
      </c>
    </row>
    <row r="26" spans="51:61" x14ac:dyDescent="0.25">
      <c r="BE26" s="1" t="s">
        <v>925</v>
      </c>
      <c r="BF26" s="1">
        <v>0.3</v>
      </c>
      <c r="BH26" t="s">
        <v>433</v>
      </c>
      <c r="BI26">
        <v>0.56299999999999994</v>
      </c>
    </row>
    <row r="27" spans="51:61" x14ac:dyDescent="0.25">
      <c r="BE27" s="1" t="s">
        <v>926</v>
      </c>
      <c r="BF27" s="1">
        <v>0.5</v>
      </c>
      <c r="BH27" t="s">
        <v>434</v>
      </c>
      <c r="BI27">
        <v>1.0125</v>
      </c>
    </row>
    <row r="28" spans="51:61" x14ac:dyDescent="0.25">
      <c r="BE28" s="1" t="s">
        <v>533</v>
      </c>
      <c r="BF28" s="1">
        <v>0.12</v>
      </c>
      <c r="BH28" t="s">
        <v>435</v>
      </c>
      <c r="BI28">
        <v>1.7437499999999999</v>
      </c>
    </row>
    <row r="29" spans="51:61" x14ac:dyDescent="0.25">
      <c r="BE29" s="1" t="s">
        <v>929</v>
      </c>
      <c r="BF29" s="1">
        <v>0.1</v>
      </c>
    </row>
  </sheetData>
  <mergeCells count="5">
    <mergeCell ref="D1:E1"/>
    <mergeCell ref="I1:R1"/>
    <mergeCell ref="AY1:BA1"/>
    <mergeCell ref="AT1:AU1"/>
    <mergeCell ref="AD1:AR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 sqref="D6"/>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J8" sqref="J8"/>
    </sheetView>
  </sheetViews>
  <sheetFormatPr defaultRowHeight="15" x14ac:dyDescent="0.25"/>
  <cols>
    <col min="1" max="1" width="29" bestFit="1" customWidth="1"/>
    <col min="2" max="2" width="12" bestFit="1" customWidth="1"/>
    <col min="4" max="4" width="34.5703125" customWidth="1"/>
    <col min="12" max="12" width="17" bestFit="1" customWidth="1"/>
    <col min="13" max="13" width="7" bestFit="1" customWidth="1"/>
  </cols>
  <sheetData>
    <row r="1" spans="1:21" x14ac:dyDescent="0.25">
      <c r="A1" t="s">
        <v>27</v>
      </c>
    </row>
    <row r="2" spans="1:21" x14ac:dyDescent="0.25">
      <c r="F2" s="311" t="s">
        <v>557</v>
      </c>
      <c r="G2" s="311"/>
      <c r="H2" s="311"/>
    </row>
    <row r="3" spans="1:21" s="14" customFormat="1" ht="45" x14ac:dyDescent="0.25">
      <c r="F3" s="14" t="s">
        <v>487</v>
      </c>
      <c r="G3" s="14" t="s">
        <v>524</v>
      </c>
      <c r="H3" s="14" t="s">
        <v>525</v>
      </c>
    </row>
    <row r="4" spans="1:21" x14ac:dyDescent="0.25">
      <c r="A4" t="s">
        <v>13</v>
      </c>
      <c r="B4">
        <v>1</v>
      </c>
      <c r="F4" t="s">
        <v>116</v>
      </c>
      <c r="G4" t="s">
        <v>116</v>
      </c>
      <c r="H4" t="s">
        <v>285</v>
      </c>
      <c r="J4" s="1"/>
      <c r="K4" s="1"/>
      <c r="N4" s="1"/>
      <c r="O4" s="1"/>
      <c r="P4" s="1"/>
      <c r="Q4" s="1"/>
      <c r="R4" s="1"/>
      <c r="S4" s="1"/>
      <c r="T4" s="1"/>
      <c r="U4" s="1"/>
    </row>
    <row r="5" spans="1:21" x14ac:dyDescent="0.25">
      <c r="A5" t="s">
        <v>28</v>
      </c>
      <c r="B5">
        <f>(VinMax-VinMin)/50</f>
        <v>0.78</v>
      </c>
      <c r="F5" t="s">
        <v>117</v>
      </c>
      <c r="G5" t="s">
        <v>117</v>
      </c>
      <c r="H5" t="s">
        <v>433</v>
      </c>
      <c r="J5" s="1"/>
      <c r="K5" s="1"/>
      <c r="N5" s="1"/>
      <c r="O5" s="1"/>
      <c r="P5" s="1"/>
      <c r="Q5" s="1"/>
      <c r="R5" s="1"/>
      <c r="S5" s="1"/>
      <c r="T5" s="1"/>
      <c r="U5" s="1"/>
    </row>
    <row r="6" spans="1:21" x14ac:dyDescent="0.25">
      <c r="A6" t="s">
        <v>24</v>
      </c>
      <c r="B6">
        <f>Pout_FB/50</f>
        <v>0.1</v>
      </c>
      <c r="F6" t="s">
        <v>118</v>
      </c>
      <c r="G6" t="s">
        <v>118</v>
      </c>
      <c r="H6" t="s">
        <v>434</v>
      </c>
      <c r="J6" s="1"/>
      <c r="K6" s="1"/>
      <c r="N6" s="1"/>
      <c r="O6" s="1"/>
      <c r="P6" s="1"/>
      <c r="Q6" s="1"/>
      <c r="R6" s="1"/>
      <c r="S6" s="1"/>
      <c r="T6" s="1"/>
      <c r="U6" s="1"/>
    </row>
    <row r="7" spans="1:21" x14ac:dyDescent="0.25">
      <c r="A7" t="s">
        <v>83</v>
      </c>
      <c r="B7">
        <f>4*PI()*(10^(-7))</f>
        <v>1.2566370614359173E-6</v>
      </c>
      <c r="F7" t="s">
        <v>523</v>
      </c>
      <c r="G7" t="s">
        <v>523</v>
      </c>
      <c r="H7" t="s">
        <v>435</v>
      </c>
      <c r="J7" s="1"/>
      <c r="K7" s="1"/>
      <c r="N7" s="1"/>
      <c r="O7" s="1"/>
      <c r="P7" s="1"/>
      <c r="Q7" s="1"/>
      <c r="R7" s="1"/>
      <c r="S7" s="1"/>
      <c r="T7" s="1"/>
      <c r="U7" s="1"/>
    </row>
    <row r="8" spans="1:21" x14ac:dyDescent="0.25">
      <c r="A8" t="s">
        <v>235</v>
      </c>
      <c r="B8" s="2">
        <f>1.724*(10^-6)</f>
        <v>1.7239999999999999E-6</v>
      </c>
      <c r="C8" s="17" t="s">
        <v>150</v>
      </c>
      <c r="J8" s="1"/>
      <c r="K8" s="1"/>
      <c r="N8" s="1"/>
      <c r="O8" s="1"/>
      <c r="P8" s="1"/>
      <c r="Q8" s="1"/>
      <c r="R8" s="1"/>
      <c r="S8" s="1"/>
      <c r="T8" s="1"/>
      <c r="U8" s="1"/>
    </row>
    <row r="9" spans="1:21" x14ac:dyDescent="0.25">
      <c r="A9" t="s">
        <v>236</v>
      </c>
      <c r="B9" s="2">
        <f>2.3*(10^-6)</f>
        <v>2.2999999999999996E-6</v>
      </c>
      <c r="C9" s="17" t="s">
        <v>150</v>
      </c>
      <c r="J9" s="1"/>
      <c r="K9" s="1"/>
      <c r="N9" s="1"/>
      <c r="O9" s="1"/>
      <c r="P9" s="1"/>
      <c r="Q9" s="1"/>
      <c r="R9" s="1"/>
      <c r="S9" s="1"/>
      <c r="T9" s="1"/>
      <c r="U9" s="1"/>
    </row>
    <row r="10" spans="1:21" x14ac:dyDescent="0.25">
      <c r="A10" t="s">
        <v>555</v>
      </c>
      <c r="B10" s="217">
        <f>30*(10^-9)</f>
        <v>3.0000000000000004E-8</v>
      </c>
      <c r="C10" t="s">
        <v>556</v>
      </c>
      <c r="J10" s="1"/>
      <c r="K10" s="1"/>
      <c r="N10" s="1"/>
      <c r="O10" s="1"/>
      <c r="P10" s="1"/>
      <c r="Q10" s="1"/>
      <c r="R10" s="285"/>
      <c r="S10" s="1"/>
      <c r="T10" s="1"/>
      <c r="U10" s="1"/>
    </row>
    <row r="11" spans="1:21" x14ac:dyDescent="0.25">
      <c r="A11" t="s">
        <v>954</v>
      </c>
      <c r="B11">
        <f>20*10^-9</f>
        <v>2E-8</v>
      </c>
      <c r="C11" t="s">
        <v>949</v>
      </c>
      <c r="D11" s="38"/>
      <c r="J11" s="1"/>
      <c r="K11" s="1"/>
      <c r="L11" s="1"/>
      <c r="M11" s="1"/>
      <c r="N11" s="1"/>
      <c r="O11" s="1"/>
      <c r="P11" s="1"/>
      <c r="Q11" s="1"/>
      <c r="R11" s="1"/>
      <c r="S11" s="1"/>
      <c r="T11" s="1"/>
      <c r="U11" s="1"/>
    </row>
    <row r="12" spans="1:21" x14ac:dyDescent="0.25">
      <c r="J12" s="1"/>
      <c r="K12" s="1"/>
      <c r="L12" s="1"/>
      <c r="M12" s="286"/>
      <c r="N12" s="287"/>
      <c r="O12" s="1"/>
      <c r="P12" s="1"/>
      <c r="Q12" s="1"/>
      <c r="R12" s="1"/>
      <c r="S12" s="1"/>
      <c r="T12" s="1"/>
      <c r="U12" s="1"/>
    </row>
    <row r="13" spans="1:21" x14ac:dyDescent="0.25">
      <c r="J13" s="1"/>
      <c r="K13" s="1"/>
      <c r="L13" s="1"/>
      <c r="M13" s="1"/>
      <c r="N13" s="1"/>
      <c r="O13" s="1"/>
      <c r="P13" s="1"/>
      <c r="Q13" s="1"/>
      <c r="R13" s="1"/>
      <c r="S13" s="1"/>
      <c r="T13" s="1"/>
      <c r="U13" s="1"/>
    </row>
    <row r="14" spans="1:21" x14ac:dyDescent="0.25">
      <c r="J14" s="1"/>
      <c r="K14" s="1"/>
      <c r="L14" s="1"/>
      <c r="M14" s="1"/>
      <c r="N14" s="1"/>
      <c r="O14" s="1"/>
      <c r="P14" s="1"/>
      <c r="Q14" s="1"/>
      <c r="R14" s="1"/>
      <c r="S14" s="1"/>
      <c r="T14" s="1"/>
      <c r="U14" s="1"/>
    </row>
    <row r="15" spans="1:21" x14ac:dyDescent="0.25">
      <c r="J15" s="1"/>
      <c r="K15" s="1"/>
      <c r="L15" s="1"/>
      <c r="M15" s="1"/>
      <c r="N15" s="1"/>
      <c r="O15" s="1"/>
      <c r="P15" s="1"/>
      <c r="Q15" s="1"/>
      <c r="R15" s="1"/>
      <c r="S15" s="1"/>
      <c r="T15" s="1"/>
      <c r="U15" s="1"/>
    </row>
    <row r="16" spans="1:21" x14ac:dyDescent="0.25">
      <c r="J16" s="1"/>
      <c r="K16" s="1"/>
      <c r="L16" s="286"/>
      <c r="M16" s="288"/>
      <c r="N16" s="288"/>
      <c r="O16" s="288"/>
      <c r="P16" s="288"/>
      <c r="Q16" s="1"/>
      <c r="R16" s="1"/>
      <c r="S16" s="1"/>
      <c r="T16" s="1"/>
      <c r="U16" s="1"/>
    </row>
    <row r="17" spans="10:21" x14ac:dyDescent="0.25">
      <c r="J17" s="1"/>
      <c r="K17" s="1"/>
      <c r="L17" s="286"/>
      <c r="M17" s="288"/>
      <c r="N17" s="288"/>
      <c r="O17" s="288"/>
      <c r="P17" s="288"/>
      <c r="Q17" s="1"/>
      <c r="R17" s="1"/>
      <c r="S17" s="1"/>
      <c r="T17" s="1"/>
      <c r="U17" s="1"/>
    </row>
    <row r="18" spans="10:21" x14ac:dyDescent="0.25">
      <c r="J18" s="1"/>
      <c r="K18" s="1"/>
      <c r="L18" s="286"/>
      <c r="M18" s="288"/>
      <c r="N18" s="288"/>
      <c r="O18" s="288"/>
      <c r="P18" s="288"/>
      <c r="Q18" s="1"/>
      <c r="R18" s="1"/>
      <c r="S18" s="1"/>
      <c r="T18" s="1"/>
      <c r="U18" s="1"/>
    </row>
    <row r="19" spans="10:21" x14ac:dyDescent="0.25">
      <c r="J19" s="1"/>
      <c r="K19" s="1"/>
      <c r="L19" s="286"/>
      <c r="M19" s="289"/>
      <c r="N19" s="288"/>
      <c r="O19" s="288"/>
      <c r="P19" s="288"/>
      <c r="Q19" s="1"/>
      <c r="R19" s="1"/>
      <c r="S19" s="1"/>
      <c r="T19" s="1"/>
      <c r="U19" s="1"/>
    </row>
    <row r="20" spans="10:21" x14ac:dyDescent="0.25">
      <c r="J20" s="1"/>
      <c r="K20" s="290"/>
      <c r="L20" s="1"/>
      <c r="M20" s="289"/>
      <c r="N20" s="288"/>
      <c r="O20" s="288"/>
      <c r="P20" s="288"/>
      <c r="Q20" s="1"/>
      <c r="R20" s="1"/>
      <c r="S20" s="1"/>
      <c r="T20" s="1"/>
      <c r="U20" s="1"/>
    </row>
    <row r="21" spans="10:21" x14ac:dyDescent="0.25">
      <c r="J21" s="1"/>
      <c r="K21" s="290"/>
      <c r="L21" s="1"/>
      <c r="M21" s="289"/>
      <c r="N21" s="289"/>
      <c r="O21" s="289"/>
      <c r="P21" s="289"/>
      <c r="Q21" s="1"/>
      <c r="R21" s="1"/>
      <c r="S21" s="1"/>
      <c r="T21" s="1"/>
      <c r="U21" s="1"/>
    </row>
    <row r="22" spans="10:21" x14ac:dyDescent="0.25">
      <c r="J22" s="1"/>
      <c r="K22" s="290"/>
      <c r="L22" s="1"/>
      <c r="M22" s="289"/>
      <c r="N22" s="289"/>
      <c r="O22" s="289"/>
      <c r="P22" s="289"/>
      <c r="Q22" s="1"/>
      <c r="R22" s="1"/>
      <c r="S22" s="1"/>
      <c r="T22" s="1"/>
      <c r="U22" s="1"/>
    </row>
    <row r="23" spans="10:21" x14ac:dyDescent="0.25">
      <c r="J23" s="1"/>
      <c r="K23" s="290"/>
      <c r="L23" s="1"/>
      <c r="M23" s="289"/>
      <c r="N23" s="289"/>
      <c r="O23" s="289"/>
      <c r="P23" s="289"/>
      <c r="Q23" s="1"/>
      <c r="R23" s="1"/>
      <c r="S23" s="1"/>
      <c r="T23" s="1"/>
      <c r="U23" s="1"/>
    </row>
    <row r="24" spans="10:21" x14ac:dyDescent="0.25">
      <c r="J24" s="1"/>
      <c r="K24" s="290"/>
      <c r="L24" s="1"/>
      <c r="M24" s="289"/>
      <c r="N24" s="289"/>
      <c r="O24" s="289"/>
      <c r="P24" s="289"/>
      <c r="Q24" s="1"/>
      <c r="R24" s="1"/>
      <c r="S24" s="1"/>
      <c r="T24" s="1"/>
      <c r="U24" s="1"/>
    </row>
    <row r="25" spans="10:21" x14ac:dyDescent="0.25">
      <c r="J25" s="1"/>
      <c r="K25" s="290"/>
      <c r="L25" s="1"/>
      <c r="M25" s="289"/>
      <c r="N25" s="289"/>
      <c r="O25" s="289"/>
      <c r="P25" s="289"/>
      <c r="Q25" s="1"/>
      <c r="R25" s="1"/>
      <c r="S25" s="1"/>
      <c r="T25" s="1"/>
      <c r="U25" s="1"/>
    </row>
    <row r="26" spans="10:21" x14ac:dyDescent="0.25">
      <c r="J26" s="1"/>
      <c r="K26" s="290"/>
      <c r="L26" s="1"/>
      <c r="M26" s="289"/>
      <c r="N26" s="289"/>
      <c r="O26" s="289"/>
      <c r="P26" s="289"/>
      <c r="Q26" s="1"/>
      <c r="R26" s="1"/>
      <c r="S26" s="1"/>
      <c r="T26" s="1"/>
      <c r="U26" s="1"/>
    </row>
    <row r="27" spans="10:21" x14ac:dyDescent="0.25">
      <c r="J27" s="1"/>
      <c r="K27" s="290"/>
      <c r="L27" s="1"/>
      <c r="M27" s="289"/>
      <c r="N27" s="289"/>
      <c r="O27" s="289"/>
      <c r="P27" s="289"/>
      <c r="Q27" s="1"/>
      <c r="R27" s="1"/>
      <c r="S27" s="1"/>
      <c r="T27" s="1"/>
      <c r="U27" s="1"/>
    </row>
    <row r="28" spans="10:21" x14ac:dyDescent="0.25">
      <c r="J28" s="1"/>
      <c r="K28" s="290"/>
      <c r="L28" s="1"/>
      <c r="M28" s="289"/>
      <c r="N28" s="289"/>
      <c r="O28" s="289"/>
      <c r="P28" s="289"/>
      <c r="Q28" s="1"/>
      <c r="R28" s="1"/>
      <c r="S28" s="1"/>
      <c r="T28" s="1"/>
      <c r="U28" s="1"/>
    </row>
    <row r="29" spans="10:21" x14ac:dyDescent="0.25">
      <c r="J29" s="1"/>
      <c r="K29" s="290"/>
      <c r="L29" s="1"/>
      <c r="M29" s="289"/>
      <c r="N29" s="289"/>
      <c r="O29" s="289"/>
      <c r="P29" s="289"/>
      <c r="Q29" s="1"/>
      <c r="R29" s="1"/>
      <c r="S29" s="1"/>
      <c r="T29" s="1"/>
      <c r="U29" s="1"/>
    </row>
    <row r="30" spans="10:21" x14ac:dyDescent="0.25">
      <c r="J30" s="1"/>
      <c r="K30" s="290"/>
      <c r="L30" s="1"/>
      <c r="M30" s="289"/>
      <c r="N30" s="289"/>
      <c r="O30" s="289"/>
      <c r="P30" s="289"/>
      <c r="Q30" s="1"/>
      <c r="R30" s="1"/>
      <c r="S30" s="1"/>
      <c r="T30" s="1"/>
      <c r="U30" s="1"/>
    </row>
    <row r="31" spans="10:21" x14ac:dyDescent="0.25">
      <c r="J31" s="1"/>
      <c r="K31" s="290"/>
      <c r="L31" s="1"/>
      <c r="M31" s="289"/>
      <c r="N31" s="289"/>
      <c r="O31" s="289"/>
      <c r="P31" s="289"/>
      <c r="Q31" s="1"/>
      <c r="R31" s="1"/>
      <c r="S31" s="1"/>
      <c r="T31" s="1"/>
      <c r="U31" s="1"/>
    </row>
    <row r="32" spans="10:21" x14ac:dyDescent="0.25">
      <c r="J32" s="1"/>
      <c r="K32" s="290"/>
      <c r="L32" s="1"/>
      <c r="M32" s="289"/>
      <c r="N32" s="289"/>
      <c r="O32" s="289"/>
      <c r="P32" s="289"/>
      <c r="Q32" s="1"/>
      <c r="R32" s="1"/>
      <c r="S32" s="1"/>
      <c r="T32" s="1"/>
      <c r="U32" s="1"/>
    </row>
    <row r="33" spans="10:21" x14ac:dyDescent="0.25">
      <c r="J33" s="1"/>
      <c r="K33" s="290"/>
      <c r="L33" s="1"/>
      <c r="M33" s="289"/>
      <c r="N33" s="289"/>
      <c r="O33" s="289"/>
      <c r="P33" s="289"/>
      <c r="Q33" s="1"/>
      <c r="R33" s="1"/>
      <c r="S33" s="1"/>
      <c r="T33" s="1"/>
      <c r="U33" s="1"/>
    </row>
    <row r="34" spans="10:21" x14ac:dyDescent="0.25">
      <c r="J34" s="1"/>
      <c r="K34" s="290"/>
      <c r="L34" s="1"/>
      <c r="M34" s="289"/>
      <c r="N34" s="289"/>
      <c r="O34" s="289"/>
      <c r="P34" s="289"/>
      <c r="Q34" s="1"/>
      <c r="R34" s="1"/>
      <c r="S34" s="1"/>
      <c r="T34" s="1"/>
      <c r="U34" s="1"/>
    </row>
    <row r="35" spans="10:21" x14ac:dyDescent="0.25">
      <c r="J35" s="1"/>
      <c r="K35" s="290"/>
      <c r="L35" s="1"/>
      <c r="M35" s="288"/>
      <c r="N35" s="289"/>
      <c r="O35" s="289"/>
      <c r="P35" s="289"/>
      <c r="Q35" s="1"/>
      <c r="R35" s="1"/>
      <c r="S35" s="1"/>
      <c r="T35" s="1"/>
      <c r="U35" s="1"/>
    </row>
    <row r="36" spans="10:21" x14ac:dyDescent="0.25">
      <c r="J36" s="1"/>
      <c r="K36" s="290"/>
      <c r="L36" s="1"/>
      <c r="M36" s="288"/>
      <c r="N36" s="289"/>
      <c r="O36" s="289"/>
      <c r="P36" s="289"/>
      <c r="Q36" s="1"/>
      <c r="R36" s="1"/>
      <c r="S36" s="1"/>
      <c r="T36" s="1"/>
      <c r="U36" s="1"/>
    </row>
  </sheetData>
  <mergeCells count="1">
    <mergeCell ref="F2:H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E19" sqref="E19"/>
    </sheetView>
  </sheetViews>
  <sheetFormatPr defaultRowHeight="15" x14ac:dyDescent="0.25"/>
  <cols>
    <col min="1" max="1" width="11.5703125" customWidth="1"/>
    <col min="3" max="3" width="53.28515625" style="4" customWidth="1"/>
  </cols>
  <sheetData>
    <row r="3" spans="1:3" x14ac:dyDescent="0.25">
      <c r="A3" t="s">
        <v>42</v>
      </c>
      <c r="B3" t="s">
        <v>43</v>
      </c>
      <c r="C3" s="4" t="s">
        <v>44</v>
      </c>
    </row>
    <row r="4" spans="1:3" x14ac:dyDescent="0.25">
      <c r="A4" s="3">
        <v>42212</v>
      </c>
      <c r="B4" t="s">
        <v>45</v>
      </c>
      <c r="C4" s="4" t="s">
        <v>46</v>
      </c>
    </row>
    <row r="5" spans="1:3" x14ac:dyDescent="0.25">
      <c r="A5" s="3">
        <v>42244</v>
      </c>
      <c r="B5" t="s">
        <v>895</v>
      </c>
      <c r="C5" s="4" t="s">
        <v>896</v>
      </c>
    </row>
    <row r="6" spans="1:3" x14ac:dyDescent="0.25">
      <c r="C6" s="4" t="s">
        <v>897</v>
      </c>
    </row>
    <row r="7" spans="1:3" x14ac:dyDescent="0.25">
      <c r="C7" s="4" t="s">
        <v>898</v>
      </c>
    </row>
    <row r="8" spans="1:3" x14ac:dyDescent="0.25">
      <c r="A8" s="3">
        <v>42259</v>
      </c>
      <c r="B8" t="s">
        <v>45</v>
      </c>
      <c r="C8" s="4" t="s">
        <v>899</v>
      </c>
    </row>
    <row r="9" spans="1:3" x14ac:dyDescent="0.25">
      <c r="A9" s="3">
        <v>42282</v>
      </c>
      <c r="B9" t="s">
        <v>45</v>
      </c>
      <c r="C9" s="4" t="s">
        <v>900</v>
      </c>
    </row>
    <row r="10" spans="1:3" x14ac:dyDescent="0.25">
      <c r="A10" s="3">
        <v>42289</v>
      </c>
      <c r="B10" t="s">
        <v>45</v>
      </c>
      <c r="C10" s="4" t="s">
        <v>901</v>
      </c>
    </row>
    <row r="11" spans="1:3" ht="20.25" customHeight="1" x14ac:dyDescent="0.25">
      <c r="A11" s="3">
        <v>42295</v>
      </c>
      <c r="B11" t="s">
        <v>45</v>
      </c>
      <c r="C11" s="4" t="s">
        <v>902</v>
      </c>
    </row>
    <row r="12" spans="1:3" x14ac:dyDescent="0.25">
      <c r="A12" s="3">
        <v>42374</v>
      </c>
      <c r="B12" t="s">
        <v>45</v>
      </c>
      <c r="C12" s="4" t="s">
        <v>969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workbookViewId="0">
      <selection activeCell="A6" sqref="A6:G7"/>
    </sheetView>
  </sheetViews>
  <sheetFormatPr defaultRowHeight="12.75" x14ac:dyDescent="0.2"/>
  <cols>
    <col min="1" max="1" width="9.140625" style="272"/>
    <col min="2" max="2" width="19.7109375" style="272" customWidth="1"/>
    <col min="3" max="6" width="11.7109375" style="272" customWidth="1"/>
    <col min="7" max="7" width="9.140625" style="272"/>
    <col min="8" max="8" width="13.42578125" style="272" customWidth="1"/>
    <col min="9" max="9" width="9.140625" style="272"/>
    <col min="10" max="10" width="10.140625" style="272" bestFit="1" customWidth="1"/>
    <col min="11" max="16384" width="9.140625" style="272"/>
  </cols>
  <sheetData>
    <row r="1" spans="1:8" ht="15" x14ac:dyDescent="0.25">
      <c r="A1" s="272" t="s">
        <v>865</v>
      </c>
      <c r="H1" s="271">
        <v>41968</v>
      </c>
    </row>
    <row r="2" spans="1:8" x14ac:dyDescent="0.2">
      <c r="A2" s="273" t="s">
        <v>864</v>
      </c>
      <c r="B2" s="273"/>
      <c r="C2" s="272" t="s">
        <v>863</v>
      </c>
      <c r="D2" s="272">
        <v>12</v>
      </c>
    </row>
    <row r="3" spans="1:8" ht="15" x14ac:dyDescent="0.25">
      <c r="B3" s="272" t="s">
        <v>862</v>
      </c>
      <c r="C3" s="274" t="s">
        <v>861</v>
      </c>
      <c r="D3" s="275">
        <v>0.9</v>
      </c>
      <c r="G3" s="272">
        <f>0.9*0.8*0.5</f>
        <v>0.36000000000000004</v>
      </c>
    </row>
    <row r="4" spans="1:8" x14ac:dyDescent="0.2">
      <c r="C4" s="272" t="s">
        <v>860</v>
      </c>
      <c r="D4" s="276">
        <v>0.5</v>
      </c>
      <c r="E4" s="272" t="s">
        <v>859</v>
      </c>
    </row>
    <row r="5" spans="1:8" x14ac:dyDescent="0.2">
      <c r="C5" s="272" t="s">
        <v>858</v>
      </c>
      <c r="D5" s="272">
        <v>20</v>
      </c>
    </row>
    <row r="6" spans="1:8" x14ac:dyDescent="0.2">
      <c r="A6" s="334" t="s">
        <v>866</v>
      </c>
      <c r="B6" s="334"/>
      <c r="C6" s="334"/>
      <c r="D6" s="334"/>
      <c r="E6" s="334"/>
      <c r="F6" s="334"/>
      <c r="G6" s="334"/>
    </row>
    <row r="7" spans="1:8" x14ac:dyDescent="0.2">
      <c r="A7" s="334"/>
      <c r="B7" s="334"/>
      <c r="C7" s="334"/>
      <c r="D7" s="334"/>
      <c r="E7" s="334"/>
      <c r="F7" s="334"/>
      <c r="G7" s="334"/>
    </row>
    <row r="8" spans="1:8" x14ac:dyDescent="0.2">
      <c r="B8" s="274" t="s">
        <v>857</v>
      </c>
      <c r="C8" s="277" t="s">
        <v>523</v>
      </c>
      <c r="D8" s="277" t="s">
        <v>116</v>
      </c>
      <c r="E8" s="277" t="s">
        <v>117</v>
      </c>
      <c r="F8" s="277" t="s">
        <v>118</v>
      </c>
    </row>
    <row r="9" spans="1:8" x14ac:dyDescent="0.2">
      <c r="B9" s="274" t="s">
        <v>856</v>
      </c>
      <c r="C9" s="277">
        <v>1.5</v>
      </c>
      <c r="D9" s="277">
        <v>0.6</v>
      </c>
      <c r="E9" s="277">
        <v>0.3</v>
      </c>
      <c r="F9" s="277">
        <v>0.1</v>
      </c>
      <c r="G9" s="272" t="s">
        <v>855</v>
      </c>
    </row>
    <row r="10" spans="1:8" x14ac:dyDescent="0.2">
      <c r="B10" s="274" t="s">
        <v>854</v>
      </c>
      <c r="C10" s="277"/>
      <c r="D10" s="277"/>
      <c r="E10" s="277"/>
      <c r="F10" s="277"/>
    </row>
    <row r="11" spans="1:8" x14ac:dyDescent="0.2">
      <c r="B11" s="274">
        <v>4.5</v>
      </c>
      <c r="C11" s="278">
        <f t="shared" ref="C11:C26" si="0">IF($B11&lt;$D$2,Eff*C$9*Vpri*$B11, Eff*C$9*(Vpmax*$B11/(Vpmax+$B11)))</f>
        <v>3.0375000000000001</v>
      </c>
      <c r="D11" s="277"/>
      <c r="E11" s="277"/>
      <c r="F11" s="277"/>
    </row>
    <row r="12" spans="1:8" x14ac:dyDescent="0.2">
      <c r="A12" s="279">
        <f t="shared" ref="A12:A28" si="1">B12/4/(0.000022*400000)</f>
        <v>0.17045454545454547</v>
      </c>
      <c r="B12" s="272">
        <v>6</v>
      </c>
      <c r="C12" s="278">
        <f t="shared" si="0"/>
        <v>4.0500000000000007</v>
      </c>
      <c r="D12" s="280"/>
      <c r="E12" s="280"/>
      <c r="F12" s="280"/>
    </row>
    <row r="13" spans="1:8" x14ac:dyDescent="0.2">
      <c r="A13" s="279">
        <f t="shared" si="1"/>
        <v>0.21306818181818185</v>
      </c>
      <c r="B13" s="272">
        <v>7.5</v>
      </c>
      <c r="C13" s="278">
        <f t="shared" si="0"/>
        <v>5.0625</v>
      </c>
      <c r="D13" s="278">
        <f t="shared" ref="D13:F28" si="2">IF($B13&lt;$D$2,Eff*D$9*Vpri*$B13, Eff*D$9*(Vpmax*$B13/(Vpmax+$B13)))</f>
        <v>2.0250000000000004</v>
      </c>
      <c r="E13" s="278">
        <f t="shared" si="2"/>
        <v>1.0125000000000002</v>
      </c>
      <c r="F13" s="278">
        <f t="shared" si="2"/>
        <v>0.33750000000000002</v>
      </c>
    </row>
    <row r="14" spans="1:8" x14ac:dyDescent="0.2">
      <c r="A14" s="279">
        <f t="shared" si="1"/>
        <v>0.28409090909090912</v>
      </c>
      <c r="B14" s="272">
        <v>10</v>
      </c>
      <c r="C14" s="278">
        <f t="shared" si="0"/>
        <v>6.75</v>
      </c>
      <c r="D14" s="278">
        <f t="shared" si="2"/>
        <v>2.7</v>
      </c>
      <c r="E14" s="278">
        <f t="shared" si="2"/>
        <v>1.35</v>
      </c>
      <c r="F14" s="278">
        <f t="shared" si="2"/>
        <v>0.45000000000000007</v>
      </c>
    </row>
    <row r="15" spans="1:8" x14ac:dyDescent="0.2">
      <c r="A15" s="279">
        <f t="shared" si="1"/>
        <v>0.36931818181818188</v>
      </c>
      <c r="B15" s="272">
        <v>13</v>
      </c>
      <c r="C15" s="278">
        <f t="shared" si="0"/>
        <v>8.4240000000000013</v>
      </c>
      <c r="D15" s="278">
        <f t="shared" si="2"/>
        <v>3.3696000000000002</v>
      </c>
      <c r="E15" s="278">
        <f t="shared" si="2"/>
        <v>1.6848000000000001</v>
      </c>
      <c r="F15" s="278">
        <f t="shared" si="2"/>
        <v>0.5616000000000001</v>
      </c>
    </row>
    <row r="16" spans="1:8" x14ac:dyDescent="0.2">
      <c r="A16" s="279">
        <f t="shared" si="1"/>
        <v>0.51136363636363646</v>
      </c>
      <c r="B16" s="272">
        <v>18</v>
      </c>
      <c r="C16" s="278">
        <f t="shared" si="0"/>
        <v>9.7200000000000006</v>
      </c>
      <c r="D16" s="278">
        <f t="shared" si="2"/>
        <v>3.8880000000000003</v>
      </c>
      <c r="E16" s="278">
        <f t="shared" si="2"/>
        <v>1.9440000000000002</v>
      </c>
      <c r="F16" s="278">
        <f t="shared" si="2"/>
        <v>0.64800000000000013</v>
      </c>
    </row>
    <row r="17" spans="1:7" x14ac:dyDescent="0.2">
      <c r="A17" s="279">
        <f t="shared" si="1"/>
        <v>0.56818181818181823</v>
      </c>
      <c r="B17" s="272">
        <v>20</v>
      </c>
      <c r="C17" s="278">
        <f t="shared" si="0"/>
        <v>10.125</v>
      </c>
      <c r="D17" s="278">
        <f t="shared" si="2"/>
        <v>4.0500000000000007</v>
      </c>
      <c r="E17" s="278">
        <f t="shared" si="2"/>
        <v>2.0250000000000004</v>
      </c>
      <c r="F17" s="278">
        <f t="shared" si="2"/>
        <v>0.67500000000000004</v>
      </c>
    </row>
    <row r="18" spans="1:7" x14ac:dyDescent="0.2">
      <c r="A18" s="279">
        <f t="shared" si="1"/>
        <v>0.68181818181818188</v>
      </c>
      <c r="B18" s="272">
        <v>24</v>
      </c>
      <c r="C18" s="278">
        <f t="shared" si="0"/>
        <v>10.8</v>
      </c>
      <c r="D18" s="278">
        <f t="shared" si="2"/>
        <v>4.32</v>
      </c>
      <c r="E18" s="278">
        <f t="shared" si="2"/>
        <v>2.16</v>
      </c>
      <c r="F18" s="278">
        <f t="shared" si="2"/>
        <v>0.72000000000000008</v>
      </c>
    </row>
    <row r="19" spans="1:7" x14ac:dyDescent="0.2">
      <c r="A19" s="279">
        <f t="shared" si="1"/>
        <v>0.8522727272727274</v>
      </c>
      <c r="B19" s="272">
        <v>30</v>
      </c>
      <c r="C19" s="278">
        <f t="shared" si="0"/>
        <v>11.571428571428571</v>
      </c>
      <c r="D19" s="278">
        <f t="shared" si="2"/>
        <v>4.628571428571429</v>
      </c>
      <c r="E19" s="278">
        <f t="shared" si="2"/>
        <v>2.3142857142857145</v>
      </c>
      <c r="F19" s="278">
        <f t="shared" si="2"/>
        <v>0.77142857142857146</v>
      </c>
    </row>
    <row r="20" spans="1:7" x14ac:dyDescent="0.2">
      <c r="A20" s="279">
        <f t="shared" si="1"/>
        <v>1.0227272727272729</v>
      </c>
      <c r="B20" s="272">
        <v>36</v>
      </c>
      <c r="C20" s="278">
        <f t="shared" si="0"/>
        <v>12.15</v>
      </c>
      <c r="D20" s="278">
        <f t="shared" si="2"/>
        <v>4.8600000000000003</v>
      </c>
      <c r="E20" s="278">
        <f t="shared" si="2"/>
        <v>2.4300000000000002</v>
      </c>
      <c r="F20" s="278">
        <f t="shared" si="2"/>
        <v>0.81</v>
      </c>
    </row>
    <row r="21" spans="1:7" x14ac:dyDescent="0.2">
      <c r="A21" s="279">
        <f t="shared" si="1"/>
        <v>1.1363636363636365</v>
      </c>
      <c r="B21" s="272">
        <v>40</v>
      </c>
      <c r="C21" s="278">
        <f t="shared" si="0"/>
        <v>12.461538461538462</v>
      </c>
      <c r="D21" s="278">
        <f t="shared" si="2"/>
        <v>4.9846153846153847</v>
      </c>
      <c r="E21" s="278">
        <f t="shared" si="2"/>
        <v>2.4923076923076923</v>
      </c>
      <c r="F21" s="278">
        <f t="shared" si="2"/>
        <v>0.83076923076923082</v>
      </c>
    </row>
    <row r="22" spans="1:7" x14ac:dyDescent="0.2">
      <c r="A22" s="279">
        <f t="shared" si="1"/>
        <v>1.1931818181818183</v>
      </c>
      <c r="B22" s="272">
        <v>42</v>
      </c>
      <c r="C22" s="278">
        <f t="shared" si="0"/>
        <v>12.600000000000001</v>
      </c>
      <c r="D22" s="278">
        <f t="shared" si="2"/>
        <v>5.0400000000000009</v>
      </c>
      <c r="E22" s="278">
        <f t="shared" si="2"/>
        <v>2.5200000000000005</v>
      </c>
      <c r="F22" s="278">
        <f t="shared" si="2"/>
        <v>0.84000000000000019</v>
      </c>
    </row>
    <row r="23" spans="1:7" x14ac:dyDescent="0.2">
      <c r="A23" s="279">
        <f t="shared" si="1"/>
        <v>1.3636363636363638</v>
      </c>
      <c r="B23" s="272">
        <v>48</v>
      </c>
      <c r="C23" s="278">
        <f t="shared" si="0"/>
        <v>12.96</v>
      </c>
      <c r="D23" s="278">
        <f t="shared" si="2"/>
        <v>5.1840000000000002</v>
      </c>
      <c r="E23" s="278">
        <f t="shared" si="2"/>
        <v>2.5920000000000001</v>
      </c>
      <c r="F23" s="278">
        <f t="shared" si="2"/>
        <v>0.8640000000000001</v>
      </c>
    </row>
    <row r="24" spans="1:7" x14ac:dyDescent="0.2">
      <c r="A24" s="279">
        <f t="shared" si="1"/>
        <v>1.5625000000000002</v>
      </c>
      <c r="B24" s="272">
        <v>55</v>
      </c>
      <c r="C24" s="278">
        <f t="shared" si="0"/>
        <v>13.298507462686567</v>
      </c>
      <c r="D24" s="278">
        <f t="shared" si="2"/>
        <v>5.3194029850746265</v>
      </c>
      <c r="E24" s="278">
        <f t="shared" si="2"/>
        <v>2.6597014925373132</v>
      </c>
      <c r="F24" s="278">
        <f t="shared" si="2"/>
        <v>0.88656716417910453</v>
      </c>
    </row>
    <row r="25" spans="1:7" x14ac:dyDescent="0.2">
      <c r="A25" s="279">
        <f t="shared" si="1"/>
        <v>1.7045454545454548</v>
      </c>
      <c r="B25" s="272">
        <v>60</v>
      </c>
      <c r="C25" s="278">
        <f t="shared" si="0"/>
        <v>13.5</v>
      </c>
      <c r="D25" s="278">
        <f t="shared" si="2"/>
        <v>5.4</v>
      </c>
      <c r="E25" s="278">
        <f t="shared" si="2"/>
        <v>2.7</v>
      </c>
      <c r="F25" s="278">
        <f t="shared" si="2"/>
        <v>0.90000000000000013</v>
      </c>
    </row>
    <row r="26" spans="1:7" x14ac:dyDescent="0.2">
      <c r="A26" s="279">
        <f t="shared" si="1"/>
        <v>1.8465909090909094</v>
      </c>
      <c r="B26" s="272">
        <v>65</v>
      </c>
      <c r="C26" s="278">
        <f t="shared" si="0"/>
        <v>13.675324675324676</v>
      </c>
      <c r="D26" s="278">
        <f t="shared" si="2"/>
        <v>5.4701298701298704</v>
      </c>
      <c r="E26" s="278">
        <f t="shared" si="2"/>
        <v>2.7350649350649352</v>
      </c>
      <c r="F26" s="278">
        <f t="shared" si="2"/>
        <v>0.91168831168831177</v>
      </c>
    </row>
    <row r="27" spans="1:7" x14ac:dyDescent="0.2">
      <c r="A27" s="279">
        <f t="shared" si="1"/>
        <v>1.988636363636364</v>
      </c>
      <c r="B27" s="272">
        <v>70</v>
      </c>
      <c r="C27" s="280"/>
      <c r="D27" s="278">
        <f t="shared" si="2"/>
        <v>5.5317073170731712</v>
      </c>
      <c r="E27" s="278">
        <f t="shared" si="2"/>
        <v>2.7658536585365856</v>
      </c>
      <c r="F27" s="278">
        <f t="shared" si="2"/>
        <v>0.92195121951219527</v>
      </c>
    </row>
    <row r="28" spans="1:7" x14ac:dyDescent="0.2">
      <c r="A28" s="279">
        <f t="shared" si="1"/>
        <v>2.1306818181818183</v>
      </c>
      <c r="B28" s="272">
        <v>75</v>
      </c>
      <c r="C28" s="280"/>
      <c r="D28" s="278">
        <f t="shared" si="2"/>
        <v>5.5862068965517242</v>
      </c>
      <c r="E28" s="278">
        <f t="shared" si="2"/>
        <v>2.7931034482758621</v>
      </c>
      <c r="F28" s="278">
        <f t="shared" si="2"/>
        <v>0.93103448275862077</v>
      </c>
    </row>
    <row r="31" spans="1:7" x14ac:dyDescent="0.2">
      <c r="A31" s="334" t="s">
        <v>867</v>
      </c>
      <c r="B31" s="334"/>
      <c r="C31" s="334"/>
      <c r="D31" s="334"/>
      <c r="E31" s="334"/>
      <c r="F31" s="334"/>
      <c r="G31" s="334"/>
    </row>
    <row r="32" spans="1:7" x14ac:dyDescent="0.2">
      <c r="A32" s="334"/>
      <c r="B32" s="334"/>
      <c r="C32" s="334"/>
      <c r="D32" s="334"/>
      <c r="E32" s="334"/>
      <c r="F32" s="334"/>
      <c r="G32" s="334"/>
    </row>
    <row r="33" spans="1:7" x14ac:dyDescent="0.2">
      <c r="B33" s="274" t="s">
        <v>857</v>
      </c>
      <c r="C33" s="277" t="s">
        <v>523</v>
      </c>
      <c r="D33" s="277" t="s">
        <v>116</v>
      </c>
      <c r="E33" s="277" t="s">
        <v>117</v>
      </c>
      <c r="F33" s="277" t="s">
        <v>118</v>
      </c>
    </row>
    <row r="34" spans="1:7" x14ac:dyDescent="0.2">
      <c r="B34" s="274" t="s">
        <v>856</v>
      </c>
      <c r="C34" s="277">
        <v>1.5</v>
      </c>
      <c r="D34" s="277">
        <v>0.6</v>
      </c>
      <c r="E34" s="277">
        <v>0.3</v>
      </c>
      <c r="F34" s="277">
        <v>0.1</v>
      </c>
      <c r="G34" s="272" t="s">
        <v>855</v>
      </c>
    </row>
    <row r="35" spans="1:7" x14ac:dyDescent="0.2">
      <c r="B35" s="274" t="s">
        <v>854</v>
      </c>
      <c r="C35" s="277"/>
      <c r="D35" s="277"/>
      <c r="E35" s="277"/>
      <c r="F35" s="277"/>
    </row>
    <row r="36" spans="1:7" x14ac:dyDescent="0.2">
      <c r="B36" s="274">
        <v>4.5</v>
      </c>
      <c r="C36" s="278">
        <f t="shared" ref="C36:C51" si="3">IF($B36&lt;$D$2,Eff*C$9*Vpri*$B36, Eff*C$9*(Vpmax*$B36/(Vpmax+$B36)))</f>
        <v>3.0375000000000001</v>
      </c>
      <c r="D36" s="277"/>
      <c r="E36" s="277"/>
      <c r="F36" s="277"/>
    </row>
    <row r="37" spans="1:7" x14ac:dyDescent="0.2">
      <c r="A37" s="279">
        <f t="shared" ref="A37:A53" si="4">B37/4/(0.000022*400000)</f>
        <v>0.17045454545454547</v>
      </c>
      <c r="B37" s="272">
        <v>6</v>
      </c>
      <c r="C37" s="278">
        <f t="shared" si="3"/>
        <v>4.0500000000000007</v>
      </c>
      <c r="D37" s="280"/>
      <c r="E37" s="280"/>
      <c r="F37" s="280"/>
    </row>
    <row r="38" spans="1:7" x14ac:dyDescent="0.2">
      <c r="A38" s="279">
        <f t="shared" si="4"/>
        <v>0.21306818181818185</v>
      </c>
      <c r="B38" s="272">
        <v>7.5</v>
      </c>
      <c r="C38" s="278">
        <f t="shared" si="3"/>
        <v>5.0625</v>
      </c>
      <c r="D38" s="278">
        <f t="shared" ref="D38:F53" si="5">IF($B38&lt;$D$2,Eff*D$9*Vpri*$B38, Eff*D$9*(Vpmax*$B38/(Vpmax+$B38)))</f>
        <v>2.0250000000000004</v>
      </c>
      <c r="E38" s="278">
        <f t="shared" si="5"/>
        <v>1.0125000000000002</v>
      </c>
      <c r="F38" s="278">
        <f t="shared" si="5"/>
        <v>0.33750000000000002</v>
      </c>
    </row>
    <row r="39" spans="1:7" x14ac:dyDescent="0.2">
      <c r="A39" s="279">
        <f t="shared" si="4"/>
        <v>0.28409090909090912</v>
      </c>
      <c r="B39" s="272">
        <v>10</v>
      </c>
      <c r="C39" s="278">
        <f t="shared" si="3"/>
        <v>6.75</v>
      </c>
      <c r="D39" s="278">
        <f t="shared" si="5"/>
        <v>2.7</v>
      </c>
      <c r="E39" s="278">
        <f t="shared" si="5"/>
        <v>1.35</v>
      </c>
      <c r="F39" s="278">
        <f t="shared" si="5"/>
        <v>0.45000000000000007</v>
      </c>
    </row>
    <row r="40" spans="1:7" x14ac:dyDescent="0.2">
      <c r="A40" s="279">
        <f t="shared" si="4"/>
        <v>0.36931818181818188</v>
      </c>
      <c r="B40" s="272">
        <v>13</v>
      </c>
      <c r="C40" s="278">
        <f t="shared" si="3"/>
        <v>8.4240000000000013</v>
      </c>
      <c r="D40" s="278">
        <f t="shared" si="5"/>
        <v>3.3696000000000002</v>
      </c>
      <c r="E40" s="278">
        <f t="shared" si="5"/>
        <v>1.6848000000000001</v>
      </c>
      <c r="F40" s="278">
        <f t="shared" si="5"/>
        <v>0.5616000000000001</v>
      </c>
    </row>
    <row r="41" spans="1:7" x14ac:dyDescent="0.2">
      <c r="A41" s="279">
        <f t="shared" si="4"/>
        <v>0.51136363636363646</v>
      </c>
      <c r="B41" s="272">
        <v>18</v>
      </c>
      <c r="C41" s="278">
        <f t="shared" si="3"/>
        <v>9.7200000000000006</v>
      </c>
      <c r="D41" s="278">
        <f t="shared" si="5"/>
        <v>3.8880000000000003</v>
      </c>
      <c r="E41" s="278">
        <f t="shared" si="5"/>
        <v>1.9440000000000002</v>
      </c>
      <c r="F41" s="278">
        <f t="shared" si="5"/>
        <v>0.64800000000000013</v>
      </c>
    </row>
    <row r="42" spans="1:7" x14ac:dyDescent="0.2">
      <c r="A42" s="279">
        <f t="shared" si="4"/>
        <v>0.56818181818181823</v>
      </c>
      <c r="B42" s="272">
        <v>20</v>
      </c>
      <c r="C42" s="278">
        <f t="shared" si="3"/>
        <v>10.125</v>
      </c>
      <c r="D42" s="278">
        <f t="shared" si="5"/>
        <v>4.0500000000000007</v>
      </c>
      <c r="E42" s="278">
        <f t="shared" si="5"/>
        <v>2.0250000000000004</v>
      </c>
      <c r="F42" s="278">
        <f t="shared" si="5"/>
        <v>0.67500000000000004</v>
      </c>
    </row>
    <row r="43" spans="1:7" x14ac:dyDescent="0.2">
      <c r="A43" s="279">
        <f t="shared" si="4"/>
        <v>0.68181818181818188</v>
      </c>
      <c r="B43" s="272">
        <v>24</v>
      </c>
      <c r="C43" s="278">
        <f t="shared" si="3"/>
        <v>10.8</v>
      </c>
      <c r="D43" s="278">
        <f t="shared" si="5"/>
        <v>4.32</v>
      </c>
      <c r="E43" s="278">
        <f t="shared" si="5"/>
        <v>2.16</v>
      </c>
      <c r="F43" s="278">
        <f t="shared" si="5"/>
        <v>0.72000000000000008</v>
      </c>
    </row>
    <row r="44" spans="1:7" x14ac:dyDescent="0.2">
      <c r="A44" s="279">
        <f t="shared" si="4"/>
        <v>0.8522727272727274</v>
      </c>
      <c r="B44" s="272">
        <v>30</v>
      </c>
      <c r="C44" s="278">
        <f t="shared" si="3"/>
        <v>11.571428571428571</v>
      </c>
      <c r="D44" s="278">
        <f t="shared" si="5"/>
        <v>4.628571428571429</v>
      </c>
      <c r="E44" s="278">
        <f t="shared" si="5"/>
        <v>2.3142857142857145</v>
      </c>
      <c r="F44" s="278">
        <f t="shared" si="5"/>
        <v>0.77142857142857146</v>
      </c>
    </row>
    <row r="45" spans="1:7" x14ac:dyDescent="0.2">
      <c r="A45" s="279">
        <f t="shared" si="4"/>
        <v>1.0227272727272729</v>
      </c>
      <c r="B45" s="272">
        <v>36</v>
      </c>
      <c r="C45" s="278">
        <f t="shared" si="3"/>
        <v>12.15</v>
      </c>
      <c r="D45" s="278">
        <f t="shared" si="5"/>
        <v>4.8600000000000003</v>
      </c>
      <c r="E45" s="278">
        <f t="shared" si="5"/>
        <v>2.4300000000000002</v>
      </c>
      <c r="F45" s="278">
        <f t="shared" si="5"/>
        <v>0.81</v>
      </c>
    </row>
    <row r="46" spans="1:7" x14ac:dyDescent="0.2">
      <c r="A46" s="279">
        <f t="shared" si="4"/>
        <v>1.1363636363636365</v>
      </c>
      <c r="B46" s="272">
        <v>40</v>
      </c>
      <c r="C46" s="278">
        <f t="shared" si="3"/>
        <v>12.461538461538462</v>
      </c>
      <c r="D46" s="278">
        <f t="shared" si="5"/>
        <v>4.9846153846153847</v>
      </c>
      <c r="E46" s="278">
        <f t="shared" si="5"/>
        <v>2.4923076923076923</v>
      </c>
      <c r="F46" s="278">
        <f t="shared" si="5"/>
        <v>0.83076923076923082</v>
      </c>
    </row>
    <row r="47" spans="1:7" x14ac:dyDescent="0.2">
      <c r="A47" s="279">
        <f t="shared" si="4"/>
        <v>1.1931818181818183</v>
      </c>
      <c r="B47" s="272">
        <v>42</v>
      </c>
      <c r="C47" s="278">
        <f t="shared" si="3"/>
        <v>12.600000000000001</v>
      </c>
      <c r="D47" s="278">
        <f t="shared" si="5"/>
        <v>5.0400000000000009</v>
      </c>
      <c r="E47" s="278">
        <f t="shared" si="5"/>
        <v>2.5200000000000005</v>
      </c>
      <c r="F47" s="278">
        <f t="shared" si="5"/>
        <v>0.84000000000000019</v>
      </c>
    </row>
    <row r="48" spans="1:7" x14ac:dyDescent="0.2">
      <c r="A48" s="279">
        <f t="shared" si="4"/>
        <v>1.3636363636363638</v>
      </c>
      <c r="B48" s="272">
        <v>48</v>
      </c>
      <c r="C48" s="278">
        <f t="shared" si="3"/>
        <v>12.96</v>
      </c>
      <c r="D48" s="278">
        <f t="shared" si="5"/>
        <v>5.1840000000000002</v>
      </c>
      <c r="E48" s="278">
        <f t="shared" si="5"/>
        <v>2.5920000000000001</v>
      </c>
      <c r="F48" s="278">
        <f t="shared" si="5"/>
        <v>0.8640000000000001</v>
      </c>
    </row>
    <row r="49" spans="1:7" x14ac:dyDescent="0.2">
      <c r="A49" s="279">
        <f t="shared" si="4"/>
        <v>1.5625000000000002</v>
      </c>
      <c r="B49" s="272">
        <v>55</v>
      </c>
      <c r="C49" s="278">
        <f t="shared" si="3"/>
        <v>13.298507462686567</v>
      </c>
      <c r="D49" s="278">
        <f t="shared" si="5"/>
        <v>5.3194029850746265</v>
      </c>
      <c r="E49" s="278">
        <f t="shared" si="5"/>
        <v>2.6597014925373132</v>
      </c>
      <c r="F49" s="278">
        <f t="shared" si="5"/>
        <v>0.88656716417910453</v>
      </c>
    </row>
    <row r="50" spans="1:7" x14ac:dyDescent="0.2">
      <c r="A50" s="279">
        <f t="shared" si="4"/>
        <v>1.7045454545454548</v>
      </c>
      <c r="B50" s="272">
        <v>60</v>
      </c>
      <c r="C50" s="278">
        <f t="shared" si="3"/>
        <v>13.5</v>
      </c>
      <c r="D50" s="278">
        <f t="shared" si="5"/>
        <v>5.4</v>
      </c>
      <c r="E50" s="278">
        <f t="shared" si="5"/>
        <v>2.7</v>
      </c>
      <c r="F50" s="278">
        <f t="shared" si="5"/>
        <v>0.90000000000000013</v>
      </c>
    </row>
    <row r="51" spans="1:7" x14ac:dyDescent="0.2">
      <c r="A51" s="279">
        <f t="shared" si="4"/>
        <v>1.8465909090909094</v>
      </c>
      <c r="B51" s="272">
        <v>65</v>
      </c>
      <c r="C51" s="278">
        <f t="shared" si="3"/>
        <v>13.675324675324676</v>
      </c>
      <c r="D51" s="278">
        <f t="shared" si="5"/>
        <v>5.4701298701298704</v>
      </c>
      <c r="E51" s="278">
        <f t="shared" si="5"/>
        <v>2.7350649350649352</v>
      </c>
      <c r="F51" s="278">
        <f t="shared" si="5"/>
        <v>0.91168831168831177</v>
      </c>
    </row>
    <row r="52" spans="1:7" x14ac:dyDescent="0.2">
      <c r="A52" s="279">
        <f t="shared" si="4"/>
        <v>1.988636363636364</v>
      </c>
      <c r="B52" s="272">
        <v>70</v>
      </c>
      <c r="C52" s="280"/>
      <c r="D52" s="278">
        <f t="shared" si="5"/>
        <v>5.5317073170731712</v>
      </c>
      <c r="E52" s="278">
        <f t="shared" si="5"/>
        <v>2.7658536585365856</v>
      </c>
      <c r="F52" s="278">
        <f t="shared" si="5"/>
        <v>0.92195121951219527</v>
      </c>
    </row>
    <row r="53" spans="1:7" x14ac:dyDescent="0.2">
      <c r="A53" s="279">
        <f t="shared" si="4"/>
        <v>2.1306818181818183</v>
      </c>
      <c r="B53" s="272">
        <v>75</v>
      </c>
      <c r="C53" s="280"/>
      <c r="D53" s="278">
        <f t="shared" si="5"/>
        <v>5.5862068965517242</v>
      </c>
      <c r="E53" s="278">
        <f t="shared" si="5"/>
        <v>2.7931034482758621</v>
      </c>
      <c r="F53" s="278">
        <f t="shared" si="5"/>
        <v>0.93103448275862077</v>
      </c>
    </row>
    <row r="56" spans="1:7" x14ac:dyDescent="0.2">
      <c r="A56" s="334" t="s">
        <v>868</v>
      </c>
      <c r="B56" s="334"/>
      <c r="C56" s="334"/>
      <c r="D56" s="334"/>
      <c r="E56" s="334"/>
      <c r="F56" s="334"/>
      <c r="G56" s="334"/>
    </row>
    <row r="57" spans="1:7" x14ac:dyDescent="0.2">
      <c r="A57" s="334"/>
      <c r="B57" s="334"/>
      <c r="C57" s="334"/>
      <c r="D57" s="334"/>
      <c r="E57" s="334"/>
      <c r="F57" s="334"/>
      <c r="G57" s="334"/>
    </row>
    <row r="58" spans="1:7" x14ac:dyDescent="0.2">
      <c r="B58" s="274" t="s">
        <v>857</v>
      </c>
      <c r="C58" s="277" t="s">
        <v>523</v>
      </c>
      <c r="D58" s="277" t="s">
        <v>116</v>
      </c>
      <c r="E58" s="277" t="s">
        <v>117</v>
      </c>
      <c r="F58" s="277" t="s">
        <v>118</v>
      </c>
    </row>
    <row r="59" spans="1:7" x14ac:dyDescent="0.2">
      <c r="B59" s="274" t="s">
        <v>856</v>
      </c>
      <c r="C59" s="277">
        <v>1.5</v>
      </c>
      <c r="D59" s="277">
        <v>0.6</v>
      </c>
      <c r="E59" s="277">
        <v>0.3</v>
      </c>
      <c r="F59" s="277">
        <v>0.1</v>
      </c>
      <c r="G59" s="272" t="s">
        <v>855</v>
      </c>
    </row>
    <row r="60" spans="1:7" x14ac:dyDescent="0.2">
      <c r="B60" s="274" t="s">
        <v>854</v>
      </c>
      <c r="C60" s="277"/>
      <c r="D60" s="277"/>
      <c r="E60" s="277"/>
      <c r="F60" s="277"/>
    </row>
    <row r="61" spans="1:7" x14ac:dyDescent="0.2">
      <c r="B61" s="274">
        <v>4.5</v>
      </c>
      <c r="C61" s="278">
        <f t="shared" ref="C61:C76" si="6">IF($B61&lt;$D$2,Eff*C$9*Vpri*$B61, Eff*C$9*(Vpmax*$B61/(Vpmax+$B61)))</f>
        <v>3.0375000000000001</v>
      </c>
      <c r="D61" s="277"/>
      <c r="E61" s="277"/>
      <c r="F61" s="277"/>
    </row>
    <row r="62" spans="1:7" x14ac:dyDescent="0.2">
      <c r="A62" s="279">
        <f t="shared" ref="A62:A78" si="7">B62/4/(0.000022*400000)</f>
        <v>0.17045454545454547</v>
      </c>
      <c r="B62" s="272">
        <v>6</v>
      </c>
      <c r="C62" s="278">
        <f t="shared" si="6"/>
        <v>4.0500000000000007</v>
      </c>
      <c r="D62" s="280"/>
      <c r="E62" s="280"/>
      <c r="F62" s="280"/>
    </row>
    <row r="63" spans="1:7" x14ac:dyDescent="0.2">
      <c r="A63" s="279">
        <f t="shared" si="7"/>
        <v>0.21306818181818185</v>
      </c>
      <c r="B63" s="272">
        <v>7.5</v>
      </c>
      <c r="C63" s="278">
        <f t="shared" si="6"/>
        <v>5.0625</v>
      </c>
      <c r="D63" s="278">
        <f t="shared" ref="D63:F78" si="8">IF($B63&lt;$D$2,Eff*D$9*Vpri*$B63, Eff*D$9*(Vpmax*$B63/(Vpmax+$B63)))</f>
        <v>2.0250000000000004</v>
      </c>
      <c r="E63" s="278">
        <f t="shared" si="8"/>
        <v>1.0125000000000002</v>
      </c>
      <c r="F63" s="278">
        <f t="shared" si="8"/>
        <v>0.33750000000000002</v>
      </c>
    </row>
    <row r="64" spans="1:7" x14ac:dyDescent="0.2">
      <c r="A64" s="279">
        <f t="shared" si="7"/>
        <v>0.28409090909090912</v>
      </c>
      <c r="B64" s="272">
        <v>10</v>
      </c>
      <c r="C64" s="278">
        <f t="shared" si="6"/>
        <v>6.75</v>
      </c>
      <c r="D64" s="278">
        <f t="shared" si="8"/>
        <v>2.7</v>
      </c>
      <c r="E64" s="278">
        <f t="shared" si="8"/>
        <v>1.35</v>
      </c>
      <c r="F64" s="278">
        <f t="shared" si="8"/>
        <v>0.45000000000000007</v>
      </c>
    </row>
    <row r="65" spans="1:6" x14ac:dyDescent="0.2">
      <c r="A65" s="279">
        <f t="shared" si="7"/>
        <v>0.36931818181818188</v>
      </c>
      <c r="B65" s="272">
        <v>13</v>
      </c>
      <c r="C65" s="278">
        <f t="shared" si="6"/>
        <v>8.4240000000000013</v>
      </c>
      <c r="D65" s="278">
        <f t="shared" si="8"/>
        <v>3.3696000000000002</v>
      </c>
      <c r="E65" s="278">
        <f t="shared" si="8"/>
        <v>1.6848000000000001</v>
      </c>
      <c r="F65" s="278">
        <f t="shared" si="8"/>
        <v>0.5616000000000001</v>
      </c>
    </row>
    <row r="66" spans="1:6" x14ac:dyDescent="0.2">
      <c r="A66" s="279">
        <f t="shared" si="7"/>
        <v>0.51136363636363646</v>
      </c>
      <c r="B66" s="272">
        <v>18</v>
      </c>
      <c r="C66" s="278">
        <f t="shared" si="6"/>
        <v>9.7200000000000006</v>
      </c>
      <c r="D66" s="278">
        <f t="shared" si="8"/>
        <v>3.8880000000000003</v>
      </c>
      <c r="E66" s="278">
        <f t="shared" si="8"/>
        <v>1.9440000000000002</v>
      </c>
      <c r="F66" s="278">
        <f t="shared" si="8"/>
        <v>0.64800000000000013</v>
      </c>
    </row>
    <row r="67" spans="1:6" x14ac:dyDescent="0.2">
      <c r="A67" s="279">
        <f t="shared" si="7"/>
        <v>0.56818181818181823</v>
      </c>
      <c r="B67" s="272">
        <v>20</v>
      </c>
      <c r="C67" s="278">
        <f t="shared" si="6"/>
        <v>10.125</v>
      </c>
      <c r="D67" s="278">
        <f t="shared" si="8"/>
        <v>4.0500000000000007</v>
      </c>
      <c r="E67" s="278">
        <f t="shared" si="8"/>
        <v>2.0250000000000004</v>
      </c>
      <c r="F67" s="278">
        <f t="shared" si="8"/>
        <v>0.67500000000000004</v>
      </c>
    </row>
    <row r="68" spans="1:6" x14ac:dyDescent="0.2">
      <c r="A68" s="279">
        <f t="shared" si="7"/>
        <v>0.68181818181818188</v>
      </c>
      <c r="B68" s="272">
        <v>24</v>
      </c>
      <c r="C68" s="278">
        <f t="shared" si="6"/>
        <v>10.8</v>
      </c>
      <c r="D68" s="278">
        <f t="shared" si="8"/>
        <v>4.32</v>
      </c>
      <c r="E68" s="278">
        <f t="shared" si="8"/>
        <v>2.16</v>
      </c>
      <c r="F68" s="278">
        <f t="shared" si="8"/>
        <v>0.72000000000000008</v>
      </c>
    </row>
    <row r="69" spans="1:6" x14ac:dyDescent="0.2">
      <c r="A69" s="279">
        <f t="shared" si="7"/>
        <v>0.8522727272727274</v>
      </c>
      <c r="B69" s="272">
        <v>30</v>
      </c>
      <c r="C69" s="278">
        <f t="shared" si="6"/>
        <v>11.571428571428571</v>
      </c>
      <c r="D69" s="278">
        <f t="shared" si="8"/>
        <v>4.628571428571429</v>
      </c>
      <c r="E69" s="278">
        <f t="shared" si="8"/>
        <v>2.3142857142857145</v>
      </c>
      <c r="F69" s="278">
        <f t="shared" si="8"/>
        <v>0.77142857142857146</v>
      </c>
    </row>
    <row r="70" spans="1:6" x14ac:dyDescent="0.2">
      <c r="A70" s="279">
        <f t="shared" si="7"/>
        <v>1.0227272727272729</v>
      </c>
      <c r="B70" s="272">
        <v>36</v>
      </c>
      <c r="C70" s="278">
        <f t="shared" si="6"/>
        <v>12.15</v>
      </c>
      <c r="D70" s="278">
        <f t="shared" si="8"/>
        <v>4.8600000000000003</v>
      </c>
      <c r="E70" s="278">
        <f t="shared" si="8"/>
        <v>2.4300000000000002</v>
      </c>
      <c r="F70" s="278">
        <f t="shared" si="8"/>
        <v>0.81</v>
      </c>
    </row>
    <row r="71" spans="1:6" x14ac:dyDescent="0.2">
      <c r="A71" s="279">
        <f t="shared" si="7"/>
        <v>1.1363636363636365</v>
      </c>
      <c r="B71" s="272">
        <v>40</v>
      </c>
      <c r="C71" s="278">
        <f t="shared" si="6"/>
        <v>12.461538461538462</v>
      </c>
      <c r="D71" s="278">
        <f t="shared" si="8"/>
        <v>4.9846153846153847</v>
      </c>
      <c r="E71" s="278">
        <f t="shared" si="8"/>
        <v>2.4923076923076923</v>
      </c>
      <c r="F71" s="278">
        <f t="shared" si="8"/>
        <v>0.83076923076923082</v>
      </c>
    </row>
    <row r="72" spans="1:6" x14ac:dyDescent="0.2">
      <c r="A72" s="279">
        <f t="shared" si="7"/>
        <v>1.1931818181818183</v>
      </c>
      <c r="B72" s="272">
        <v>42</v>
      </c>
      <c r="C72" s="278">
        <f t="shared" si="6"/>
        <v>12.600000000000001</v>
      </c>
      <c r="D72" s="278">
        <f t="shared" si="8"/>
        <v>5.0400000000000009</v>
      </c>
      <c r="E72" s="278">
        <f t="shared" si="8"/>
        <v>2.5200000000000005</v>
      </c>
      <c r="F72" s="278">
        <f t="shared" si="8"/>
        <v>0.84000000000000019</v>
      </c>
    </row>
    <row r="73" spans="1:6" x14ac:dyDescent="0.2">
      <c r="A73" s="279">
        <f t="shared" si="7"/>
        <v>1.3636363636363638</v>
      </c>
      <c r="B73" s="272">
        <v>48</v>
      </c>
      <c r="C73" s="278">
        <f t="shared" si="6"/>
        <v>12.96</v>
      </c>
      <c r="D73" s="278">
        <f t="shared" si="8"/>
        <v>5.1840000000000002</v>
      </c>
      <c r="E73" s="278">
        <f t="shared" si="8"/>
        <v>2.5920000000000001</v>
      </c>
      <c r="F73" s="278">
        <f t="shared" si="8"/>
        <v>0.8640000000000001</v>
      </c>
    </row>
    <row r="74" spans="1:6" x14ac:dyDescent="0.2">
      <c r="A74" s="279">
        <f t="shared" si="7"/>
        <v>1.5625000000000002</v>
      </c>
      <c r="B74" s="272">
        <v>55</v>
      </c>
      <c r="C74" s="278">
        <f t="shared" si="6"/>
        <v>13.298507462686567</v>
      </c>
      <c r="D74" s="278">
        <f t="shared" si="8"/>
        <v>5.3194029850746265</v>
      </c>
      <c r="E74" s="278">
        <f t="shared" si="8"/>
        <v>2.6597014925373132</v>
      </c>
      <c r="F74" s="278">
        <f t="shared" si="8"/>
        <v>0.88656716417910453</v>
      </c>
    </row>
    <row r="75" spans="1:6" x14ac:dyDescent="0.2">
      <c r="A75" s="279">
        <f t="shared" si="7"/>
        <v>1.7045454545454548</v>
      </c>
      <c r="B75" s="272">
        <v>60</v>
      </c>
      <c r="C75" s="278">
        <f t="shared" si="6"/>
        <v>13.5</v>
      </c>
      <c r="D75" s="278">
        <f t="shared" si="8"/>
        <v>5.4</v>
      </c>
      <c r="E75" s="278">
        <f t="shared" si="8"/>
        <v>2.7</v>
      </c>
      <c r="F75" s="278">
        <f t="shared" si="8"/>
        <v>0.90000000000000013</v>
      </c>
    </row>
    <row r="76" spans="1:6" x14ac:dyDescent="0.2">
      <c r="A76" s="279">
        <f t="shared" si="7"/>
        <v>1.8465909090909094</v>
      </c>
      <c r="B76" s="272">
        <v>65</v>
      </c>
      <c r="C76" s="278">
        <f t="shared" si="6"/>
        <v>13.675324675324676</v>
      </c>
      <c r="D76" s="278">
        <f t="shared" si="8"/>
        <v>5.4701298701298704</v>
      </c>
      <c r="E76" s="278">
        <f t="shared" si="8"/>
        <v>2.7350649350649352</v>
      </c>
      <c r="F76" s="278">
        <f t="shared" si="8"/>
        <v>0.91168831168831177</v>
      </c>
    </row>
    <row r="77" spans="1:6" x14ac:dyDescent="0.2">
      <c r="A77" s="279">
        <f t="shared" si="7"/>
        <v>1.988636363636364</v>
      </c>
      <c r="B77" s="272">
        <v>70</v>
      </c>
      <c r="C77" s="280"/>
      <c r="D77" s="278">
        <f t="shared" si="8"/>
        <v>5.5317073170731712</v>
      </c>
      <c r="E77" s="278">
        <f t="shared" si="8"/>
        <v>2.7658536585365856</v>
      </c>
      <c r="F77" s="278">
        <f t="shared" si="8"/>
        <v>0.92195121951219527</v>
      </c>
    </row>
    <row r="78" spans="1:6" x14ac:dyDescent="0.2">
      <c r="A78" s="279">
        <f t="shared" si="7"/>
        <v>2.1306818181818183</v>
      </c>
      <c r="B78" s="272">
        <v>75</v>
      </c>
      <c r="C78" s="280"/>
      <c r="D78" s="278">
        <f t="shared" si="8"/>
        <v>5.5862068965517242</v>
      </c>
      <c r="E78" s="278">
        <f t="shared" si="8"/>
        <v>2.7931034482758621</v>
      </c>
      <c r="F78" s="278">
        <f t="shared" si="8"/>
        <v>0.93103448275862077</v>
      </c>
    </row>
  </sheetData>
  <mergeCells count="3">
    <mergeCell ref="A6:G7"/>
    <mergeCell ref="A31:G32"/>
    <mergeCell ref="A56:G5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9"/>
  <sheetViews>
    <sheetView zoomScale="85" zoomScaleNormal="85" workbookViewId="0">
      <selection activeCell="M12" sqref="M12"/>
    </sheetView>
  </sheetViews>
  <sheetFormatPr defaultRowHeight="15" x14ac:dyDescent="0.25"/>
  <cols>
    <col min="1" max="1" width="34.5703125" style="340" customWidth="1"/>
    <col min="2" max="2" width="12" style="340" bestFit="1" customWidth="1"/>
    <col min="3" max="3" width="3.85546875" style="340" bestFit="1" customWidth="1"/>
    <col min="4" max="4" width="13.5703125" style="340" customWidth="1"/>
    <col min="5" max="5" width="12.7109375" style="340" customWidth="1"/>
    <col min="6" max="6" width="2.140625" style="340" bestFit="1" customWidth="1"/>
    <col min="7" max="7" width="9.140625" style="340"/>
    <col min="8" max="8" width="12" style="340" customWidth="1"/>
    <col min="9" max="9" width="8.42578125" style="340" bestFit="1" customWidth="1"/>
    <col min="10" max="10" width="12" style="340" bestFit="1" customWidth="1"/>
    <col min="11" max="11" width="15.7109375" style="340" customWidth="1"/>
    <col min="12" max="12" width="2.28515625" style="340" bestFit="1" customWidth="1"/>
    <col min="13" max="13" width="9.140625" style="340"/>
    <col min="14" max="14" width="12" style="340" bestFit="1" customWidth="1"/>
    <col min="15" max="17" width="9.140625" style="340"/>
    <col min="18" max="18" width="12" style="340" bestFit="1" customWidth="1"/>
    <col min="19" max="16384" width="9.140625" style="340"/>
  </cols>
  <sheetData>
    <row r="1" spans="1:12" s="337" customFormat="1" x14ac:dyDescent="0.25">
      <c r="A1" s="336" t="s">
        <v>886</v>
      </c>
    </row>
    <row r="2" spans="1:12" s="339" customFormat="1" ht="15.75" thickBot="1" x14ac:dyDescent="0.3">
      <c r="A2" s="338"/>
    </row>
    <row r="3" spans="1:12" ht="15.75" thickBot="1" x14ac:dyDescent="0.3"/>
    <row r="4" spans="1:12" ht="27" thickBot="1" x14ac:dyDescent="0.45">
      <c r="A4" s="341" t="s">
        <v>885</v>
      </c>
      <c r="B4" s="342"/>
      <c r="C4" s="343"/>
    </row>
    <row r="5" spans="1:12" ht="19.5" thickBot="1" x14ac:dyDescent="0.35">
      <c r="A5" s="344" t="s">
        <v>0</v>
      </c>
      <c r="B5" s="293">
        <v>9</v>
      </c>
      <c r="C5" s="345" t="s">
        <v>5</v>
      </c>
      <c r="E5" s="346" t="s">
        <v>904</v>
      </c>
      <c r="F5" s="346"/>
      <c r="G5" s="346"/>
    </row>
    <row r="6" spans="1:12" ht="15.75" thickBot="1" x14ac:dyDescent="0.3">
      <c r="A6" s="347" t="s">
        <v>1</v>
      </c>
      <c r="B6" s="294">
        <v>12</v>
      </c>
      <c r="C6" s="345" t="s">
        <v>5</v>
      </c>
      <c r="E6" s="348"/>
      <c r="F6" s="340" t="s">
        <v>903</v>
      </c>
    </row>
    <row r="7" spans="1:12" ht="15.75" thickBot="1" x14ac:dyDescent="0.3">
      <c r="A7" s="347" t="s">
        <v>2</v>
      </c>
      <c r="B7" s="294">
        <v>48</v>
      </c>
      <c r="C7" s="345" t="s">
        <v>5</v>
      </c>
      <c r="E7" s="349"/>
      <c r="F7" s="340" t="s">
        <v>905</v>
      </c>
    </row>
    <row r="8" spans="1:12" ht="15.75" thickBot="1" x14ac:dyDescent="0.3">
      <c r="A8" s="347" t="s">
        <v>3</v>
      </c>
      <c r="B8" s="294">
        <v>300</v>
      </c>
      <c r="C8" s="345" t="s">
        <v>8</v>
      </c>
      <c r="E8" s="350"/>
      <c r="F8" s="340" t="s">
        <v>906</v>
      </c>
    </row>
    <row r="9" spans="1:12" x14ac:dyDescent="0.25">
      <c r="A9" s="347" t="s">
        <v>9</v>
      </c>
      <c r="B9" s="295">
        <v>0.9</v>
      </c>
      <c r="C9" s="345"/>
    </row>
    <row r="10" spans="1:12" x14ac:dyDescent="0.25">
      <c r="A10" s="347" t="s">
        <v>12</v>
      </c>
      <c r="B10" s="295">
        <v>0.5</v>
      </c>
      <c r="C10" s="345"/>
    </row>
    <row r="11" spans="1:12" ht="15.75" thickBot="1" x14ac:dyDescent="0.3">
      <c r="A11" s="351" t="s">
        <v>38</v>
      </c>
      <c r="B11" s="296">
        <v>0.2</v>
      </c>
      <c r="C11" s="352"/>
    </row>
    <row r="12" spans="1:12" ht="15.75" thickBot="1" x14ac:dyDescent="0.3"/>
    <row r="13" spans="1:12" ht="27" thickBot="1" x14ac:dyDescent="0.45">
      <c r="A13" s="341" t="s">
        <v>4</v>
      </c>
      <c r="B13" s="342"/>
      <c r="C13" s="343"/>
      <c r="D13" s="353"/>
      <c r="E13" s="353"/>
      <c r="F13" s="353"/>
      <c r="G13" s="353"/>
      <c r="H13" s="353"/>
      <c r="I13" s="353"/>
      <c r="J13" s="353"/>
      <c r="K13" s="353"/>
      <c r="L13" s="353"/>
    </row>
    <row r="14" spans="1:12" ht="16.5" thickBot="1" x14ac:dyDescent="0.3">
      <c r="A14" s="354" t="s">
        <v>909</v>
      </c>
      <c r="B14" s="355"/>
      <c r="C14" s="356"/>
      <c r="D14" s="357"/>
      <c r="E14" s="357"/>
      <c r="F14" s="357"/>
      <c r="G14" s="357"/>
      <c r="H14" s="357"/>
      <c r="I14" s="357"/>
      <c r="J14" s="357"/>
      <c r="K14" s="357"/>
      <c r="L14" s="357"/>
    </row>
    <row r="15" spans="1:12" ht="15.75" thickBot="1" x14ac:dyDescent="0.3">
      <c r="A15" s="358" t="s">
        <v>47</v>
      </c>
      <c r="B15" s="359"/>
      <c r="C15" s="360"/>
      <c r="D15" s="361"/>
      <c r="E15" s="361"/>
      <c r="F15" s="361"/>
      <c r="G15" s="361"/>
      <c r="H15" s="361"/>
      <c r="I15" s="361"/>
      <c r="J15" s="361"/>
      <c r="K15" s="361"/>
      <c r="L15" s="361"/>
    </row>
    <row r="16" spans="1:12" x14ac:dyDescent="0.25">
      <c r="A16" s="362" t="s">
        <v>911</v>
      </c>
      <c r="B16" s="363">
        <f>D_spec*VinMin</f>
        <v>4.5</v>
      </c>
      <c r="C16" s="364" t="s">
        <v>5</v>
      </c>
      <c r="D16" s="365"/>
      <c r="E16" s="365"/>
      <c r="F16" s="365"/>
      <c r="G16" s="365"/>
      <c r="H16" s="365"/>
      <c r="I16" s="365"/>
      <c r="J16" s="365"/>
      <c r="K16" s="365"/>
      <c r="L16" s="365"/>
    </row>
    <row r="17" spans="1:13" x14ac:dyDescent="0.25">
      <c r="A17" s="366" t="s">
        <v>912</v>
      </c>
      <c r="B17" s="294">
        <v>5</v>
      </c>
      <c r="C17" s="345" t="s">
        <v>5</v>
      </c>
      <c r="D17" s="365"/>
      <c r="E17" s="365"/>
      <c r="F17" s="365"/>
      <c r="G17" s="365"/>
      <c r="H17" s="365"/>
      <c r="I17" s="365"/>
      <c r="J17" s="365"/>
      <c r="K17" s="365"/>
      <c r="L17" s="365"/>
    </row>
    <row r="18" spans="1:13" x14ac:dyDescent="0.25">
      <c r="A18" s="366" t="s">
        <v>913</v>
      </c>
      <c r="B18" s="294">
        <v>0</v>
      </c>
      <c r="C18" s="345" t="s">
        <v>6</v>
      </c>
      <c r="D18" s="365"/>
      <c r="E18" s="365"/>
      <c r="F18" s="365"/>
      <c r="G18" s="365"/>
      <c r="H18" s="365"/>
      <c r="I18" s="365"/>
      <c r="J18" s="365"/>
      <c r="K18" s="365"/>
      <c r="L18" s="365"/>
    </row>
    <row r="19" spans="1:13" ht="15.75" thickBot="1" x14ac:dyDescent="0.3">
      <c r="A19" s="367" t="s">
        <v>914</v>
      </c>
      <c r="B19" s="298">
        <v>50</v>
      </c>
      <c r="C19" s="352" t="s">
        <v>288</v>
      </c>
      <c r="D19" s="365"/>
      <c r="E19" s="365"/>
      <c r="F19" s="365"/>
      <c r="G19" s="365"/>
      <c r="H19" s="365"/>
      <c r="I19" s="365"/>
      <c r="J19" s="365"/>
      <c r="K19" s="365"/>
      <c r="L19" s="365"/>
    </row>
    <row r="20" spans="1:13" ht="15.75" thickBot="1" x14ac:dyDescent="0.3">
      <c r="A20" s="358" t="s">
        <v>48</v>
      </c>
      <c r="B20" s="368"/>
      <c r="C20" s="369"/>
      <c r="D20" s="365"/>
      <c r="E20" s="365"/>
      <c r="F20" s="365"/>
      <c r="G20" s="365"/>
      <c r="H20" s="365"/>
      <c r="I20" s="365"/>
      <c r="J20" s="365"/>
      <c r="K20" s="365"/>
      <c r="L20" s="365"/>
    </row>
    <row r="21" spans="1:13" x14ac:dyDescent="0.25">
      <c r="A21" s="362" t="s">
        <v>911</v>
      </c>
      <c r="B21" s="363">
        <f>(D_spec*VinMin)/(D_spec-1)</f>
        <v>-9</v>
      </c>
      <c r="C21" s="364" t="s">
        <v>5</v>
      </c>
      <c r="D21" s="365"/>
      <c r="E21" s="365"/>
      <c r="F21" s="365"/>
      <c r="G21" s="365"/>
      <c r="H21" s="365"/>
      <c r="I21" s="365"/>
      <c r="J21" s="365"/>
      <c r="K21" s="365"/>
      <c r="L21" s="365"/>
    </row>
    <row r="22" spans="1:13" x14ac:dyDescent="0.25">
      <c r="A22" s="366" t="s">
        <v>912</v>
      </c>
      <c r="B22" s="294">
        <v>-9</v>
      </c>
      <c r="C22" s="345" t="s">
        <v>5</v>
      </c>
      <c r="D22" s="365"/>
      <c r="E22" s="365"/>
      <c r="F22" s="365"/>
      <c r="G22" s="365"/>
      <c r="H22" s="365"/>
      <c r="I22" s="365"/>
      <c r="J22" s="365"/>
      <c r="K22" s="365"/>
      <c r="L22" s="365"/>
    </row>
    <row r="23" spans="1:13" x14ac:dyDescent="0.25">
      <c r="A23" s="366" t="s">
        <v>913</v>
      </c>
      <c r="B23" s="294">
        <v>0</v>
      </c>
      <c r="C23" s="345" t="s">
        <v>6</v>
      </c>
      <c r="D23" s="365"/>
      <c r="E23" s="365"/>
      <c r="F23" s="365"/>
      <c r="G23" s="365"/>
      <c r="H23" s="365"/>
      <c r="I23" s="365"/>
      <c r="J23" s="365"/>
      <c r="K23" s="365"/>
      <c r="L23" s="365"/>
    </row>
    <row r="24" spans="1:13" ht="15.75" thickBot="1" x14ac:dyDescent="0.3">
      <c r="A24" s="367" t="s">
        <v>914</v>
      </c>
      <c r="B24" s="298">
        <v>50</v>
      </c>
      <c r="C24" s="352" t="s">
        <v>288</v>
      </c>
      <c r="D24" s="365"/>
      <c r="E24" s="365"/>
      <c r="F24" s="365"/>
      <c r="G24" s="365"/>
      <c r="H24" s="365"/>
      <c r="I24" s="365"/>
      <c r="J24" s="365"/>
      <c r="K24" s="365"/>
      <c r="L24" s="365"/>
      <c r="M24" s="365"/>
    </row>
    <row r="25" spans="1:13" ht="15.75" thickBot="1" x14ac:dyDescent="0.3">
      <c r="A25" s="358" t="s">
        <v>11</v>
      </c>
      <c r="B25" s="368"/>
      <c r="C25" s="369"/>
      <c r="D25" s="365"/>
      <c r="E25" s="365"/>
      <c r="F25" s="365"/>
      <c r="G25" s="365"/>
      <c r="H25" s="365"/>
      <c r="I25" s="365"/>
      <c r="J25" s="365"/>
      <c r="K25" s="365"/>
      <c r="L25" s="365"/>
      <c r="M25" s="365"/>
    </row>
    <row r="26" spans="1:13" x14ac:dyDescent="0.25">
      <c r="A26" s="362" t="s">
        <v>916</v>
      </c>
      <c r="B26" s="299">
        <v>10</v>
      </c>
      <c r="C26" s="364" t="s">
        <v>5</v>
      </c>
      <c r="D26" s="365"/>
      <c r="E26" s="365"/>
      <c r="F26" s="365"/>
      <c r="G26" s="365"/>
      <c r="H26" s="365"/>
      <c r="I26" s="365"/>
      <c r="J26" s="365"/>
      <c r="K26" s="365"/>
      <c r="L26" s="365"/>
      <c r="M26" s="365"/>
    </row>
    <row r="27" spans="1:13" x14ac:dyDescent="0.25">
      <c r="A27" s="366" t="s">
        <v>913</v>
      </c>
      <c r="B27" s="294">
        <v>0.1</v>
      </c>
      <c r="C27" s="345" t="s">
        <v>6</v>
      </c>
      <c r="D27" s="365"/>
      <c r="E27" s="365"/>
      <c r="F27" s="365"/>
      <c r="G27" s="365"/>
      <c r="H27" s="365"/>
      <c r="I27" s="365"/>
      <c r="J27" s="365"/>
      <c r="K27" s="365"/>
      <c r="L27" s="365"/>
      <c r="M27" s="365"/>
    </row>
    <row r="28" spans="1:13" x14ac:dyDescent="0.25">
      <c r="A28" s="370" t="s">
        <v>914</v>
      </c>
      <c r="B28" s="294">
        <v>50</v>
      </c>
      <c r="C28" s="345" t="s">
        <v>288</v>
      </c>
      <c r="D28" s="365"/>
      <c r="E28" s="365"/>
      <c r="F28" s="365"/>
      <c r="G28" s="365"/>
      <c r="H28" s="365"/>
      <c r="I28" s="365"/>
      <c r="J28" s="365"/>
      <c r="K28" s="365"/>
      <c r="L28" s="365"/>
      <c r="M28" s="365"/>
    </row>
    <row r="29" spans="1:13" ht="15.75" thickBot="1" x14ac:dyDescent="0.3">
      <c r="A29" s="367" t="s">
        <v>643</v>
      </c>
      <c r="B29" s="298">
        <v>0.3</v>
      </c>
      <c r="C29" s="352" t="s">
        <v>5</v>
      </c>
      <c r="D29" s="365"/>
      <c r="E29" s="365"/>
      <c r="F29" s="365"/>
      <c r="G29" s="365"/>
      <c r="H29" s="365"/>
      <c r="I29" s="365"/>
      <c r="J29" s="365"/>
      <c r="K29" s="365"/>
      <c r="L29" s="365"/>
    </row>
    <row r="30" spans="1:13" ht="16.5" thickBot="1" x14ac:dyDescent="0.3">
      <c r="A30" s="354" t="s">
        <v>910</v>
      </c>
      <c r="B30" s="355"/>
      <c r="C30" s="356"/>
      <c r="D30" s="357"/>
      <c r="E30" s="357"/>
      <c r="F30" s="357"/>
      <c r="G30" s="357"/>
      <c r="H30" s="357"/>
      <c r="I30" s="357"/>
      <c r="J30" s="357"/>
      <c r="K30" s="357"/>
      <c r="L30" s="357"/>
      <c r="M30" s="365"/>
    </row>
    <row r="31" spans="1:13" ht="15.75" thickBot="1" x14ac:dyDescent="0.3">
      <c r="A31" s="371" t="s">
        <v>803</v>
      </c>
      <c r="B31" s="359"/>
      <c r="C31" s="360"/>
      <c r="D31" s="357"/>
      <c r="E31" s="357"/>
      <c r="F31" s="357"/>
      <c r="G31" s="357"/>
      <c r="H31" s="357"/>
      <c r="I31" s="357"/>
      <c r="J31" s="357"/>
      <c r="K31" s="357"/>
      <c r="L31" s="357"/>
      <c r="M31" s="365"/>
    </row>
    <row r="32" spans="1:13" x14ac:dyDescent="0.25">
      <c r="A32" s="362" t="s">
        <v>907</v>
      </c>
      <c r="B32" s="299">
        <v>5</v>
      </c>
      <c r="C32" s="364" t="s">
        <v>5</v>
      </c>
      <c r="D32" s="365"/>
      <c r="E32" s="365"/>
      <c r="F32" s="365"/>
      <c r="G32" s="365"/>
      <c r="H32" s="365"/>
      <c r="I32" s="365"/>
      <c r="J32" s="365"/>
      <c r="K32" s="365"/>
      <c r="L32" s="365"/>
      <c r="M32" s="365"/>
    </row>
    <row r="33" spans="1:13" x14ac:dyDescent="0.25">
      <c r="A33" s="366" t="s">
        <v>908</v>
      </c>
      <c r="B33" s="294">
        <v>0.5</v>
      </c>
      <c r="C33" s="345" t="s">
        <v>6</v>
      </c>
      <c r="D33" s="365"/>
      <c r="E33" s="365"/>
      <c r="F33" s="365"/>
      <c r="G33" s="365"/>
      <c r="H33" s="365"/>
      <c r="I33" s="365"/>
      <c r="J33" s="365"/>
      <c r="K33" s="365"/>
      <c r="L33" s="365"/>
      <c r="M33" s="365"/>
    </row>
    <row r="34" spans="1:13" x14ac:dyDescent="0.25">
      <c r="A34" s="366" t="s">
        <v>726</v>
      </c>
      <c r="B34" s="294">
        <v>50</v>
      </c>
      <c r="C34" s="345" t="s">
        <v>288</v>
      </c>
      <c r="D34" s="365"/>
      <c r="E34" s="365"/>
      <c r="F34" s="365"/>
      <c r="G34" s="365"/>
      <c r="H34" s="365"/>
      <c r="I34" s="365"/>
      <c r="J34" s="365"/>
      <c r="K34" s="365"/>
      <c r="L34" s="365"/>
      <c r="M34" s="365"/>
    </row>
    <row r="35" spans="1:13" ht="15.75" thickBot="1" x14ac:dyDescent="0.3">
      <c r="A35" s="367" t="s">
        <v>643</v>
      </c>
      <c r="B35" s="298">
        <v>0.3</v>
      </c>
      <c r="C35" s="352" t="s">
        <v>5</v>
      </c>
      <c r="D35" s="365"/>
      <c r="E35" s="365"/>
      <c r="F35" s="365"/>
      <c r="G35" s="365"/>
      <c r="H35" s="365"/>
      <c r="I35" s="365"/>
      <c r="J35" s="372">
        <f>ABS(VoutPri_FBB)</f>
        <v>9</v>
      </c>
      <c r="K35" s="365"/>
      <c r="L35" s="365"/>
      <c r="M35" s="365"/>
    </row>
    <row r="36" spans="1:13" ht="15.75" thickBot="1" x14ac:dyDescent="0.3">
      <c r="A36" s="373" t="s">
        <v>804</v>
      </c>
      <c r="B36" s="368"/>
      <c r="C36" s="369"/>
      <c r="D36" s="365"/>
      <c r="E36" s="365"/>
      <c r="F36" s="365"/>
      <c r="G36" s="365"/>
      <c r="H36" s="365"/>
      <c r="I36" s="365"/>
      <c r="J36" s="365"/>
      <c r="K36" s="365"/>
      <c r="L36" s="365"/>
      <c r="M36" s="365"/>
    </row>
    <row r="37" spans="1:13" x14ac:dyDescent="0.25">
      <c r="A37" s="362" t="s">
        <v>907</v>
      </c>
      <c r="B37" s="299">
        <v>5</v>
      </c>
      <c r="C37" s="364" t="s">
        <v>5</v>
      </c>
      <c r="D37" s="365"/>
      <c r="E37" s="365"/>
      <c r="F37" s="365"/>
      <c r="G37" s="365"/>
      <c r="H37" s="365"/>
      <c r="I37" s="365"/>
      <c r="J37" s="365"/>
      <c r="K37" s="365"/>
      <c r="L37" s="365"/>
      <c r="M37" s="365"/>
    </row>
    <row r="38" spans="1:13" x14ac:dyDescent="0.25">
      <c r="A38" s="366" t="s">
        <v>908</v>
      </c>
      <c r="B38" s="294">
        <v>0.5</v>
      </c>
      <c r="C38" s="345" t="s">
        <v>6</v>
      </c>
      <c r="D38" s="365"/>
      <c r="E38" s="365"/>
      <c r="F38" s="365"/>
      <c r="G38" s="365"/>
      <c r="H38" s="365"/>
      <c r="I38" s="365"/>
      <c r="J38" s="365"/>
      <c r="K38" s="365"/>
      <c r="L38" s="365"/>
      <c r="M38" s="365"/>
    </row>
    <row r="39" spans="1:13" x14ac:dyDescent="0.25">
      <c r="A39" s="366" t="s">
        <v>726</v>
      </c>
      <c r="B39" s="294">
        <v>50</v>
      </c>
      <c r="C39" s="345" t="s">
        <v>288</v>
      </c>
      <c r="D39" s="365"/>
      <c r="E39" s="365"/>
      <c r="F39" s="365"/>
      <c r="G39" s="365"/>
      <c r="H39" s="365"/>
      <c r="I39" s="365"/>
      <c r="J39" s="365"/>
      <c r="K39" s="365"/>
      <c r="L39" s="365"/>
      <c r="M39" s="365"/>
    </row>
    <row r="40" spans="1:13" ht="15.75" thickBot="1" x14ac:dyDescent="0.3">
      <c r="A40" s="367" t="s">
        <v>643</v>
      </c>
      <c r="B40" s="298">
        <v>0.3</v>
      </c>
      <c r="C40" s="352" t="s">
        <v>5</v>
      </c>
      <c r="D40" s="365"/>
      <c r="E40" s="365"/>
      <c r="F40" s="365"/>
      <c r="G40" s="365"/>
      <c r="H40" s="365"/>
      <c r="I40" s="365"/>
      <c r="J40" s="365"/>
      <c r="K40" s="365"/>
      <c r="L40" s="365"/>
      <c r="M40" s="365"/>
    </row>
    <row r="41" spans="1:13" ht="15.75" thickBot="1" x14ac:dyDescent="0.3">
      <c r="A41" s="373" t="s">
        <v>805</v>
      </c>
      <c r="B41" s="368"/>
      <c r="C41" s="369"/>
      <c r="D41" s="365"/>
      <c r="E41" s="365"/>
      <c r="F41" s="365"/>
      <c r="G41" s="365"/>
      <c r="H41" s="365"/>
      <c r="I41" s="365"/>
      <c r="J41" s="365"/>
      <c r="K41" s="365"/>
      <c r="L41" s="365"/>
      <c r="M41" s="365"/>
    </row>
    <row r="42" spans="1:13" x14ac:dyDescent="0.25">
      <c r="A42" s="362" t="s">
        <v>907</v>
      </c>
      <c r="B42" s="299">
        <v>0</v>
      </c>
      <c r="C42" s="364" t="s">
        <v>5</v>
      </c>
      <c r="D42" s="365"/>
      <c r="E42" s="365"/>
      <c r="F42" s="365"/>
      <c r="G42" s="365"/>
      <c r="H42" s="365"/>
      <c r="I42" s="365"/>
      <c r="J42" s="365"/>
      <c r="K42" s="365"/>
      <c r="L42" s="365"/>
      <c r="M42" s="365"/>
    </row>
    <row r="43" spans="1:13" x14ac:dyDescent="0.25">
      <c r="A43" s="366" t="s">
        <v>908</v>
      </c>
      <c r="B43" s="294">
        <v>0</v>
      </c>
      <c r="C43" s="345" t="s">
        <v>6</v>
      </c>
      <c r="D43" s="365"/>
      <c r="E43" s="365"/>
      <c r="F43" s="365"/>
      <c r="G43" s="365"/>
      <c r="H43" s="365"/>
      <c r="I43" s="365"/>
      <c r="J43" s="365"/>
      <c r="K43" s="365"/>
      <c r="L43" s="365"/>
      <c r="M43" s="365"/>
    </row>
    <row r="44" spans="1:13" x14ac:dyDescent="0.25">
      <c r="A44" s="366" t="s">
        <v>726</v>
      </c>
      <c r="B44" s="294">
        <v>50</v>
      </c>
      <c r="C44" s="345" t="s">
        <v>288</v>
      </c>
      <c r="D44" s="365"/>
      <c r="E44" s="365"/>
      <c r="F44" s="365"/>
      <c r="G44" s="365"/>
      <c r="H44" s="365"/>
      <c r="I44" s="365"/>
      <c r="J44" s="365"/>
      <c r="K44" s="365"/>
      <c r="L44" s="365"/>
      <c r="M44" s="365"/>
    </row>
    <row r="45" spans="1:13" ht="15.75" thickBot="1" x14ac:dyDescent="0.3">
      <c r="A45" s="367" t="s">
        <v>643</v>
      </c>
      <c r="B45" s="298">
        <v>0.3</v>
      </c>
      <c r="C45" s="352" t="s">
        <v>5</v>
      </c>
      <c r="D45" s="365"/>
      <c r="E45" s="365"/>
      <c r="F45" s="365"/>
      <c r="G45" s="365"/>
      <c r="H45" s="365"/>
      <c r="I45" s="365"/>
      <c r="J45" s="365"/>
      <c r="K45" s="365"/>
      <c r="L45" s="365"/>
      <c r="M45" s="365"/>
    </row>
    <row r="46" spans="1:13" ht="15.75" thickBot="1" x14ac:dyDescent="0.3">
      <c r="A46" s="373" t="s">
        <v>806</v>
      </c>
      <c r="B46" s="368"/>
      <c r="C46" s="369"/>
      <c r="D46" s="365"/>
      <c r="E46" s="365"/>
      <c r="F46" s="365"/>
      <c r="G46" s="365"/>
      <c r="H46" s="365"/>
      <c r="I46" s="365"/>
      <c r="J46" s="365"/>
      <c r="K46" s="365"/>
      <c r="L46" s="365"/>
      <c r="M46" s="365"/>
    </row>
    <row r="47" spans="1:13" x14ac:dyDescent="0.25">
      <c r="A47" s="362" t="s">
        <v>907</v>
      </c>
      <c r="B47" s="299">
        <v>0</v>
      </c>
      <c r="C47" s="364" t="s">
        <v>5</v>
      </c>
      <c r="D47" s="365"/>
      <c r="E47" s="365"/>
      <c r="F47" s="365"/>
      <c r="G47" s="365"/>
      <c r="H47" s="365"/>
      <c r="I47" s="365"/>
      <c r="J47" s="365"/>
      <c r="K47" s="365"/>
      <c r="L47" s="365"/>
      <c r="M47" s="365"/>
    </row>
    <row r="48" spans="1:13" x14ac:dyDescent="0.25">
      <c r="A48" s="366" t="s">
        <v>908</v>
      </c>
      <c r="B48" s="294">
        <v>0</v>
      </c>
      <c r="C48" s="345" t="s">
        <v>6</v>
      </c>
      <c r="D48" s="365"/>
      <c r="E48" s="365"/>
      <c r="F48" s="365"/>
      <c r="G48" s="365"/>
      <c r="H48" s="365"/>
      <c r="I48" s="365"/>
      <c r="J48" s="365"/>
      <c r="K48" s="365"/>
      <c r="L48" s="365"/>
      <c r="M48" s="365"/>
    </row>
    <row r="49" spans="1:13" x14ac:dyDescent="0.25">
      <c r="A49" s="366" t="s">
        <v>726</v>
      </c>
      <c r="B49" s="294">
        <v>50</v>
      </c>
      <c r="C49" s="345" t="s">
        <v>288</v>
      </c>
      <c r="D49" s="365"/>
      <c r="E49" s="365"/>
      <c r="F49" s="365"/>
      <c r="G49" s="365"/>
      <c r="H49" s="365"/>
      <c r="I49" s="365"/>
      <c r="J49" s="365"/>
      <c r="K49" s="365"/>
      <c r="L49" s="365"/>
      <c r="M49" s="365"/>
    </row>
    <row r="50" spans="1:13" ht="15.75" thickBot="1" x14ac:dyDescent="0.3">
      <c r="A50" s="367" t="s">
        <v>643</v>
      </c>
      <c r="B50" s="298">
        <v>0.3</v>
      </c>
      <c r="C50" s="352" t="s">
        <v>5</v>
      </c>
      <c r="D50" s="365"/>
      <c r="E50" s="365"/>
      <c r="F50" s="365"/>
      <c r="G50" s="365"/>
      <c r="H50" s="365"/>
      <c r="I50" s="365"/>
      <c r="J50" s="365"/>
      <c r="K50" s="365"/>
      <c r="L50" s="365"/>
      <c r="M50" s="365"/>
    </row>
    <row r="51" spans="1:13" ht="15.75" thickBot="1" x14ac:dyDescent="0.3">
      <c r="A51" s="373" t="s">
        <v>807</v>
      </c>
      <c r="B51" s="368"/>
      <c r="C51" s="369"/>
      <c r="D51" s="365"/>
      <c r="E51" s="365"/>
      <c r="F51" s="365"/>
      <c r="G51" s="365"/>
      <c r="H51" s="365"/>
      <c r="I51" s="365"/>
      <c r="J51" s="365"/>
      <c r="K51" s="365"/>
      <c r="L51" s="365"/>
      <c r="M51" s="365"/>
    </row>
    <row r="52" spans="1:13" x14ac:dyDescent="0.25">
      <c r="A52" s="362" t="s">
        <v>907</v>
      </c>
      <c r="B52" s="299">
        <v>0</v>
      </c>
      <c r="C52" s="364" t="s">
        <v>5</v>
      </c>
      <c r="D52" s="365"/>
      <c r="E52" s="365"/>
      <c r="F52" s="365"/>
      <c r="G52" s="365"/>
      <c r="H52" s="365"/>
      <c r="I52" s="365"/>
      <c r="J52" s="365"/>
      <c r="K52" s="365"/>
      <c r="L52" s="365"/>
      <c r="M52" s="365"/>
    </row>
    <row r="53" spans="1:13" x14ac:dyDescent="0.25">
      <c r="A53" s="366" t="s">
        <v>908</v>
      </c>
      <c r="B53" s="294">
        <v>0</v>
      </c>
      <c r="C53" s="345" t="s">
        <v>6</v>
      </c>
      <c r="D53" s="365"/>
      <c r="E53" s="365"/>
      <c r="F53" s="365"/>
      <c r="G53" s="365"/>
      <c r="H53" s="365"/>
      <c r="I53" s="365"/>
      <c r="J53" s="365"/>
      <c r="K53" s="365"/>
      <c r="L53" s="365"/>
      <c r="M53" s="365"/>
    </row>
    <row r="54" spans="1:13" x14ac:dyDescent="0.25">
      <c r="A54" s="366" t="s">
        <v>726</v>
      </c>
      <c r="B54" s="294">
        <v>50</v>
      </c>
      <c r="C54" s="345" t="s">
        <v>288</v>
      </c>
      <c r="D54" s="365"/>
      <c r="E54" s="365"/>
      <c r="F54" s="365"/>
      <c r="G54" s="365"/>
      <c r="H54" s="365"/>
      <c r="I54" s="365"/>
      <c r="J54" s="365"/>
      <c r="K54" s="365"/>
      <c r="L54" s="365"/>
      <c r="M54" s="365"/>
    </row>
    <row r="55" spans="1:13" ht="15.75" thickBot="1" x14ac:dyDescent="0.3">
      <c r="A55" s="367" t="s">
        <v>643</v>
      </c>
      <c r="B55" s="298">
        <v>0.3</v>
      </c>
      <c r="C55" s="352" t="s">
        <v>5</v>
      </c>
      <c r="D55" s="365"/>
      <c r="E55" s="365"/>
      <c r="F55" s="365"/>
      <c r="G55" s="365"/>
      <c r="H55" s="365"/>
      <c r="I55" s="365"/>
      <c r="J55" s="365"/>
      <c r="K55" s="365"/>
      <c r="L55" s="365"/>
      <c r="M55" s="365"/>
    </row>
    <row r="56" spans="1:13" ht="15.75" thickBot="1" x14ac:dyDescent="0.3">
      <c r="A56" s="373" t="s">
        <v>808</v>
      </c>
      <c r="B56" s="368"/>
      <c r="C56" s="369"/>
      <c r="D56" s="365"/>
      <c r="E56" s="365"/>
      <c r="F56" s="365"/>
      <c r="G56" s="365"/>
      <c r="H56" s="365"/>
      <c r="I56" s="365"/>
      <c r="J56" s="365"/>
      <c r="K56" s="365"/>
      <c r="L56" s="365"/>
      <c r="M56" s="365"/>
    </row>
    <row r="57" spans="1:13" x14ac:dyDescent="0.25">
      <c r="A57" s="362" t="s">
        <v>907</v>
      </c>
      <c r="B57" s="299">
        <v>0</v>
      </c>
      <c r="C57" s="364" t="s">
        <v>5</v>
      </c>
      <c r="D57" s="365"/>
      <c r="E57" s="365"/>
      <c r="F57" s="365"/>
      <c r="G57" s="365"/>
      <c r="H57" s="365"/>
      <c r="I57" s="365"/>
      <c r="J57" s="365"/>
      <c r="K57" s="365"/>
      <c r="L57" s="365"/>
      <c r="M57" s="365"/>
    </row>
    <row r="58" spans="1:13" x14ac:dyDescent="0.25">
      <c r="A58" s="366" t="s">
        <v>908</v>
      </c>
      <c r="B58" s="294">
        <v>0</v>
      </c>
      <c r="C58" s="345" t="s">
        <v>6</v>
      </c>
      <c r="D58" s="365"/>
      <c r="E58" s="365"/>
      <c r="F58" s="365"/>
      <c r="G58" s="365"/>
      <c r="H58" s="365"/>
      <c r="I58" s="365"/>
      <c r="J58" s="365"/>
      <c r="K58" s="365"/>
      <c r="L58" s="365"/>
      <c r="M58" s="365"/>
    </row>
    <row r="59" spans="1:13" x14ac:dyDescent="0.25">
      <c r="A59" s="366" t="s">
        <v>726</v>
      </c>
      <c r="B59" s="294">
        <v>50</v>
      </c>
      <c r="C59" s="345" t="s">
        <v>288</v>
      </c>
      <c r="D59" s="365"/>
      <c r="E59" s="365"/>
      <c r="F59" s="365"/>
      <c r="G59" s="365"/>
      <c r="H59" s="365"/>
      <c r="I59" s="365"/>
      <c r="J59" s="365"/>
      <c r="K59" s="365"/>
      <c r="L59" s="365"/>
      <c r="M59" s="365"/>
    </row>
    <row r="60" spans="1:13" ht="15.75" thickBot="1" x14ac:dyDescent="0.3">
      <c r="A60" s="367" t="s">
        <v>643</v>
      </c>
      <c r="B60" s="298">
        <v>0.3</v>
      </c>
      <c r="C60" s="352" t="s">
        <v>5</v>
      </c>
      <c r="D60" s="365"/>
      <c r="E60" s="365"/>
      <c r="F60" s="365"/>
      <c r="G60" s="365"/>
      <c r="H60" s="365"/>
      <c r="I60" s="365"/>
      <c r="J60" s="365"/>
      <c r="K60" s="365"/>
      <c r="L60" s="365"/>
      <c r="M60" s="365"/>
    </row>
    <row r="61" spans="1:13" ht="16.5" thickBot="1" x14ac:dyDescent="0.3">
      <c r="A61" s="354" t="s">
        <v>7</v>
      </c>
      <c r="B61" s="355"/>
      <c r="C61" s="356"/>
    </row>
    <row r="62" spans="1:13" x14ac:dyDescent="0.25">
      <c r="A62" s="374" t="s">
        <v>47</v>
      </c>
      <c r="B62" s="363">
        <f>(ABS(VoutPri_FB)*IoutPri_FB)+(ABS(Vout1)*Iout1)+(ABS(Vout2)*Iout2)+(ABS(Vout3)*Iout3)+(ABS(Vout4)*Iout4)+(ABS(Vout5)*Iout5)+(ABS(Vout6)*Iout6)</f>
        <v>5</v>
      </c>
      <c r="C62" s="364" t="s">
        <v>91</v>
      </c>
    </row>
    <row r="63" spans="1:13" x14ac:dyDescent="0.25">
      <c r="A63" s="375" t="s">
        <v>48</v>
      </c>
      <c r="B63" s="376">
        <f>(ABS(VoutPri_FBB)*IoutPri_FBB)+(ABS(Vout1)*Iout1)+(ABS(Vout2)*Iout2)+(ABS(Vout3)*Iout3)+(ABS(Vout4)*Iout4)+(ABS(Vout5)*Iout5)+(ABS(Vout6)*Iout6)</f>
        <v>5</v>
      </c>
      <c r="C63" s="345" t="s">
        <v>91</v>
      </c>
    </row>
    <row r="64" spans="1:13" ht="15.75" thickBot="1" x14ac:dyDescent="0.3">
      <c r="A64" s="377" t="s">
        <v>11</v>
      </c>
      <c r="B64" s="378">
        <f>(ABS(Vout1)*Iout1)+(ABS(Vout2)*Iout2)+(ABS(Vout3)*Iout3)+(ABS(Vout4)*Iout4)+(ABS(Vout5)*Iout5)+(ABS(Vout6)*Iout6)+(ABS(VOUTAUX)*IoutAux)</f>
        <v>6</v>
      </c>
      <c r="C64" s="352" t="s">
        <v>91</v>
      </c>
    </row>
    <row r="65" spans="1:23" ht="15.75" thickBot="1" x14ac:dyDescent="0.3">
      <c r="A65" s="379"/>
      <c r="B65" s="365"/>
      <c r="C65" s="365"/>
    </row>
    <row r="66" spans="1:23" ht="24" thickBot="1" x14ac:dyDescent="0.4">
      <c r="A66" s="380" t="s">
        <v>869</v>
      </c>
      <c r="B66" s="381"/>
      <c r="C66" s="382"/>
    </row>
    <row r="67" spans="1:23" x14ac:dyDescent="0.25">
      <c r="A67" s="383" t="s">
        <v>47</v>
      </c>
      <c r="B67" s="384"/>
      <c r="C67" s="385">
        <f>IF('Fly-Buck_Calc'!I120&gt;=1,1,0)</f>
        <v>1</v>
      </c>
    </row>
    <row r="68" spans="1:23" x14ac:dyDescent="0.25">
      <c r="A68" s="386" t="s">
        <v>48</v>
      </c>
      <c r="B68" s="387"/>
      <c r="C68" s="388">
        <f>IF('Fly-BB_Calc'!I121&gt;=1,1,0)</f>
        <v>1</v>
      </c>
    </row>
    <row r="69" spans="1:23" ht="15.75" thickBot="1" x14ac:dyDescent="0.3">
      <c r="A69" s="389" t="s">
        <v>880</v>
      </c>
      <c r="B69" s="390"/>
      <c r="C69" s="391">
        <f>IF(Flyback_CCM_Calc!J27+Flyback_DCM_Calc!J12&gt;=1,1,0)</f>
        <v>1</v>
      </c>
    </row>
    <row r="70" spans="1:23" ht="15.75" thickBot="1" x14ac:dyDescent="0.3"/>
    <row r="71" spans="1:23" s="337" customFormat="1" x14ac:dyDescent="0.25">
      <c r="A71" s="336" t="s">
        <v>915</v>
      </c>
    </row>
    <row r="72" spans="1:23" s="339" customFormat="1" ht="15.75" thickBot="1" x14ac:dyDescent="0.3">
      <c r="A72" s="338"/>
    </row>
    <row r="74" spans="1:23" ht="15.75" thickBot="1" x14ac:dyDescent="0.3"/>
    <row r="75" spans="1:23" s="398" customFormat="1" ht="30" customHeight="1" thickBot="1" x14ac:dyDescent="0.3">
      <c r="A75" s="392" t="s">
        <v>940</v>
      </c>
      <c r="B75" s="393"/>
      <c r="C75" s="393"/>
      <c r="D75" s="393"/>
      <c r="E75" s="394"/>
      <c r="F75" s="395"/>
      <c r="G75" s="396"/>
      <c r="H75" s="397"/>
      <c r="I75" s="397"/>
      <c r="J75" s="397"/>
      <c r="K75" s="397"/>
      <c r="L75" s="397"/>
      <c r="M75" s="397"/>
      <c r="N75" s="397"/>
      <c r="P75" s="399" t="s">
        <v>942</v>
      </c>
      <c r="Q75" s="400"/>
      <c r="R75" s="400"/>
      <c r="S75" s="400"/>
      <c r="T75" s="400"/>
      <c r="U75" s="400"/>
      <c r="V75" s="400"/>
      <c r="W75" s="401"/>
    </row>
    <row r="76" spans="1:23" s="398" customFormat="1" ht="32.25" customHeight="1" thickBot="1" x14ac:dyDescent="0.3">
      <c r="A76" s="402"/>
      <c r="B76" s="403" t="s">
        <v>953</v>
      </c>
      <c r="C76" s="404"/>
      <c r="D76" s="405" t="s">
        <v>887</v>
      </c>
      <c r="E76" s="406" t="s">
        <v>894</v>
      </c>
      <c r="G76" s="397"/>
      <c r="H76" s="397"/>
      <c r="I76" s="397"/>
      <c r="J76" s="397"/>
      <c r="K76" s="397"/>
      <c r="L76" s="397"/>
      <c r="M76" s="397"/>
      <c r="N76" s="397"/>
    </row>
    <row r="77" spans="1:23" x14ac:dyDescent="0.25">
      <c r="A77" s="366" t="s">
        <v>47</v>
      </c>
      <c r="B77" s="407" t="str">
        <f>'Fly-Buck'!B37</f>
        <v>LM5160</v>
      </c>
      <c r="C77" s="408"/>
      <c r="D77" s="409">
        <f>'Fly-Buck_Calc'!B78</f>
        <v>18</v>
      </c>
      <c r="E77" s="410" t="str">
        <f t="shared" ref="E77:E84" si="0">IF(H77&lt;2,"$",IF(H77&lt;3,"$$",IF(H77&lt;4,"$$$",IF(H77&lt;5,"$$$$",IF(H77&lt;6,"$$$$$",IF(H77&lt;7,"$$$$$$",IF(H77&lt;8,"$$$$$$$")))))))</f>
        <v>$</v>
      </c>
      <c r="F77" s="411">
        <f>'Fly-Buck_Calc'!B79</f>
        <v>5.1180000000000003</v>
      </c>
      <c r="G77" s="411"/>
      <c r="H77" s="411">
        <f t="shared" ref="H77:H84" si="1">_xlfn.RANK.EQ(F77,$F$77:$F$84,1)</f>
        <v>1</v>
      </c>
      <c r="I77" s="412"/>
      <c r="J77" s="412"/>
      <c r="K77" s="412"/>
      <c r="L77" s="412"/>
      <c r="M77" s="412"/>
      <c r="N77" s="412"/>
    </row>
    <row r="78" spans="1:23" x14ac:dyDescent="0.25">
      <c r="A78" s="366" t="s">
        <v>48</v>
      </c>
      <c r="B78" s="413" t="str">
        <f>'Fly-Buck-Boost'!B37</f>
        <v>LM5160</v>
      </c>
      <c r="C78" s="414"/>
      <c r="D78" s="415">
        <f>'Fly-Buck_Calc'!B78</f>
        <v>18</v>
      </c>
      <c r="E78" s="416" t="str">
        <f t="shared" si="0"/>
        <v>$</v>
      </c>
      <c r="F78" s="411">
        <f>'Fly-Buck_Calc'!B79</f>
        <v>5.1180000000000003</v>
      </c>
      <c r="G78" s="411"/>
      <c r="H78" s="411">
        <f t="shared" si="1"/>
        <v>1</v>
      </c>
      <c r="I78" s="412"/>
      <c r="J78" s="412"/>
      <c r="K78" s="412"/>
      <c r="L78" s="412"/>
      <c r="M78" s="412"/>
      <c r="N78" s="412"/>
    </row>
    <row r="79" spans="1:23" x14ac:dyDescent="0.25">
      <c r="A79" s="366" t="s">
        <v>888</v>
      </c>
      <c r="B79" s="413" t="str">
        <f>'Flyback CCM'!$B$39</f>
        <v>LM5020</v>
      </c>
      <c r="C79" s="414"/>
      <c r="D79" s="415">
        <f>Flyback_CCM_Calc!B94</f>
        <v>26</v>
      </c>
      <c r="E79" s="416" t="str">
        <f t="shared" si="0"/>
        <v>$$$$$$$</v>
      </c>
      <c r="F79" s="411">
        <f>Flyback_CCM_Calc!B95</f>
        <v>5.37</v>
      </c>
      <c r="G79" s="411"/>
      <c r="H79" s="411">
        <f t="shared" si="1"/>
        <v>7</v>
      </c>
      <c r="I79" s="412"/>
      <c r="J79" s="412"/>
      <c r="K79" s="412"/>
      <c r="L79" s="412"/>
      <c r="M79" s="412"/>
      <c r="N79" s="412"/>
    </row>
    <row r="80" spans="1:23" x14ac:dyDescent="0.25">
      <c r="A80" s="366" t="s">
        <v>889</v>
      </c>
      <c r="B80" s="413" t="str">
        <f>'Flyback CCM'!$B$39</f>
        <v>LM5020</v>
      </c>
      <c r="C80" s="414"/>
      <c r="D80" s="415">
        <f>Flyback_CCM_Calc!B96</f>
        <v>23</v>
      </c>
      <c r="E80" s="416" t="str">
        <f t="shared" si="0"/>
        <v>$$$</v>
      </c>
      <c r="F80" s="411">
        <f>Flyback_CCM_Calc!B97</f>
        <v>5.15</v>
      </c>
      <c r="G80" s="411"/>
      <c r="H80" s="411">
        <f t="shared" si="1"/>
        <v>3</v>
      </c>
      <c r="I80" s="412"/>
      <c r="J80" s="412"/>
      <c r="K80" s="412"/>
      <c r="L80" s="412"/>
      <c r="M80" s="412"/>
      <c r="N80" s="412"/>
    </row>
    <row r="81" spans="1:14" x14ac:dyDescent="0.25">
      <c r="A81" s="366" t="s">
        <v>890</v>
      </c>
      <c r="B81" s="413" t="str">
        <f>'Flyback CCM'!$B$39</f>
        <v>LM5020</v>
      </c>
      <c r="C81" s="414"/>
      <c r="D81" s="415">
        <f>Flyback_CCM_Calc!B96</f>
        <v>23</v>
      </c>
      <c r="E81" s="416" t="str">
        <f t="shared" si="0"/>
        <v>$$$</v>
      </c>
      <c r="F81" s="411">
        <f>Flyback_CCM_Calc!B97</f>
        <v>5.15</v>
      </c>
      <c r="G81" s="411"/>
      <c r="H81" s="411">
        <f t="shared" si="1"/>
        <v>3</v>
      </c>
      <c r="I81" s="412"/>
      <c r="J81" s="412"/>
      <c r="K81" s="412"/>
      <c r="L81" s="412"/>
      <c r="M81" s="412"/>
      <c r="N81" s="412"/>
    </row>
    <row r="82" spans="1:14" x14ac:dyDescent="0.25">
      <c r="A82" s="366" t="s">
        <v>891</v>
      </c>
      <c r="B82" s="413" t="str">
        <f>'Flyback DCM'!B40</f>
        <v>LM5020</v>
      </c>
      <c r="C82" s="414"/>
      <c r="D82" s="415">
        <f>Flyback_DCM_Calc!B93</f>
        <v>26</v>
      </c>
      <c r="E82" s="416" t="str">
        <f t="shared" si="0"/>
        <v>$$$$$$$</v>
      </c>
      <c r="F82" s="411">
        <f>Flyback_DCM_Calc!B94</f>
        <v>5.37</v>
      </c>
      <c r="G82" s="411"/>
      <c r="H82" s="411">
        <f t="shared" si="1"/>
        <v>7</v>
      </c>
      <c r="I82" s="412"/>
      <c r="J82" s="412"/>
      <c r="K82" s="412"/>
      <c r="L82" s="412"/>
      <c r="M82" s="412"/>
      <c r="N82" s="412"/>
    </row>
    <row r="83" spans="1:14" x14ac:dyDescent="0.25">
      <c r="A83" s="366" t="s">
        <v>892</v>
      </c>
      <c r="B83" s="413" t="str">
        <f>'Flyback DCM'!B40</f>
        <v>LM5020</v>
      </c>
      <c r="C83" s="414"/>
      <c r="D83" s="415">
        <f>Flyback_DCM_Calc!B95</f>
        <v>23</v>
      </c>
      <c r="E83" s="416" t="str">
        <f t="shared" si="0"/>
        <v>$$$</v>
      </c>
      <c r="F83" s="411">
        <f>Flyback_DCM_Calc!B96</f>
        <v>5.15</v>
      </c>
      <c r="G83" s="411"/>
      <c r="H83" s="411">
        <f t="shared" si="1"/>
        <v>3</v>
      </c>
      <c r="I83" s="412"/>
      <c r="J83" s="412"/>
      <c r="K83" s="412"/>
      <c r="L83" s="412"/>
      <c r="M83" s="412"/>
      <c r="N83" s="412"/>
    </row>
    <row r="84" spans="1:14" ht="15.75" thickBot="1" x14ac:dyDescent="0.3">
      <c r="A84" s="367" t="s">
        <v>893</v>
      </c>
      <c r="B84" s="417" t="str">
        <f>'Flyback DCM'!B40</f>
        <v>LM5020</v>
      </c>
      <c r="C84" s="418"/>
      <c r="D84" s="419">
        <f>Flyback_DCM_Calc!B95</f>
        <v>23</v>
      </c>
      <c r="E84" s="420" t="str">
        <f t="shared" si="0"/>
        <v>$$$</v>
      </c>
      <c r="F84" s="411">
        <f>Flyback_DCM_Calc!B96</f>
        <v>5.15</v>
      </c>
      <c r="G84" s="411"/>
      <c r="H84" s="411">
        <f t="shared" si="1"/>
        <v>3</v>
      </c>
      <c r="I84" s="412"/>
      <c r="J84" s="412"/>
      <c r="K84" s="412"/>
      <c r="L84" s="412"/>
      <c r="M84" s="412"/>
      <c r="N84" s="412"/>
    </row>
    <row r="85" spans="1:14" x14ac:dyDescent="0.25">
      <c r="B85" s="421"/>
      <c r="C85" s="421"/>
      <c r="G85" s="412"/>
      <c r="H85" s="412"/>
      <c r="I85" s="412"/>
      <c r="J85" s="412"/>
      <c r="K85" s="412"/>
      <c r="L85" s="412"/>
      <c r="M85" s="412"/>
      <c r="N85" s="412"/>
    </row>
    <row r="86" spans="1:14" ht="15.75" thickBot="1" x14ac:dyDescent="0.3">
      <c r="B86" s="421"/>
      <c r="C86" s="421"/>
      <c r="G86" s="412"/>
      <c r="H86" s="412"/>
      <c r="I86" s="412"/>
      <c r="J86" s="412"/>
      <c r="K86" s="412"/>
      <c r="L86" s="412"/>
      <c r="M86" s="412"/>
      <c r="N86" s="412"/>
    </row>
    <row r="87" spans="1:14" ht="15" customHeight="1" x14ac:dyDescent="0.25">
      <c r="A87" s="422" t="s">
        <v>941</v>
      </c>
      <c r="B87" s="423"/>
      <c r="C87" s="423"/>
      <c r="D87" s="423"/>
      <c r="E87" s="424"/>
      <c r="G87" s="412"/>
      <c r="H87" s="412"/>
      <c r="I87" s="412"/>
      <c r="J87" s="412"/>
      <c r="K87" s="412"/>
      <c r="L87" s="412"/>
      <c r="M87" s="412"/>
      <c r="N87" s="412"/>
    </row>
    <row r="88" spans="1:14" ht="15.75" customHeight="1" thickBot="1" x14ac:dyDescent="0.3">
      <c r="A88" s="425"/>
      <c r="B88" s="426"/>
      <c r="C88" s="426"/>
      <c r="D88" s="426"/>
      <c r="E88" s="427"/>
    </row>
    <row r="89" spans="1:14" x14ac:dyDescent="0.25">
      <c r="B89" s="421"/>
      <c r="C89" s="421"/>
    </row>
  </sheetData>
  <sheetProtection password="E1A4" sheet="1" objects="1" scenarios="1"/>
  <mergeCells count="24">
    <mergeCell ref="B82:C82"/>
    <mergeCell ref="B83:C83"/>
    <mergeCell ref="A1:XFD2"/>
    <mergeCell ref="E5:G5"/>
    <mergeCell ref="A30:C30"/>
    <mergeCell ref="A14:C14"/>
    <mergeCell ref="A13:C13"/>
    <mergeCell ref="A4:C4"/>
    <mergeCell ref="A87:E88"/>
    <mergeCell ref="P75:W75"/>
    <mergeCell ref="A61:C61"/>
    <mergeCell ref="A71:XFD72"/>
    <mergeCell ref="A67:B67"/>
    <mergeCell ref="A66:C66"/>
    <mergeCell ref="A68:B68"/>
    <mergeCell ref="A69:B69"/>
    <mergeCell ref="B76:C76"/>
    <mergeCell ref="B77:C77"/>
    <mergeCell ref="B78:C78"/>
    <mergeCell ref="B79:C79"/>
    <mergeCell ref="A75:E75"/>
    <mergeCell ref="B84:C84"/>
    <mergeCell ref="B80:C80"/>
    <mergeCell ref="B81:C81"/>
  </mergeCells>
  <conditionalFormatting sqref="C67:C69">
    <cfRule type="cellIs" dxfId="15" priority="1" operator="equal">
      <formula>0</formula>
    </cfRule>
    <cfRule type="cellIs" dxfId="14" priority="2" operator="equal">
      <formula>1</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88" r:id="rId4">
          <objectPr defaultSize="0" autoPict="0" r:id="rId5">
            <anchor moveWithCells="1">
              <from>
                <xdr:col>3</xdr:col>
                <xdr:colOff>190500</xdr:colOff>
                <xdr:row>15</xdr:row>
                <xdr:rowOff>57150</xdr:rowOff>
              </from>
              <to>
                <xdr:col>9</xdr:col>
                <xdr:colOff>723900</xdr:colOff>
                <xdr:row>28</xdr:row>
                <xdr:rowOff>190500</xdr:rowOff>
              </to>
            </anchor>
          </objectPr>
        </oleObject>
      </mc:Choice>
      <mc:Fallback>
        <oleObject progId="Visio.Drawing.11" shapeId="1088" r:id="rId4"/>
      </mc:Fallback>
    </mc:AlternateContent>
    <mc:AlternateContent xmlns:mc="http://schemas.openxmlformats.org/markup-compatibility/2006">
      <mc:Choice Requires="x14">
        <oleObject progId="Visio.Drawing.11" shapeId="1089" r:id="rId6">
          <objectPr defaultSize="0" r:id="rId7">
            <anchor moveWithCells="1">
              <from>
                <xdr:col>10</xdr:col>
                <xdr:colOff>38100</xdr:colOff>
                <xdr:row>15</xdr:row>
                <xdr:rowOff>66675</xdr:rowOff>
              </from>
              <to>
                <xdr:col>16</xdr:col>
                <xdr:colOff>419100</xdr:colOff>
                <xdr:row>29</xdr:row>
                <xdr:rowOff>0</xdr:rowOff>
              </to>
            </anchor>
          </objectPr>
        </oleObject>
      </mc:Choice>
      <mc:Fallback>
        <oleObject progId="Visio.Drawing.11" shapeId="1089" r:id="rId6"/>
      </mc:Fallback>
    </mc:AlternateContent>
    <mc:AlternateContent xmlns:mc="http://schemas.openxmlformats.org/markup-compatibility/2006">
      <mc:Choice Requires="x14">
        <oleObject progId="Visio.Drawing.11" shapeId="1090" r:id="rId8">
          <objectPr defaultSize="0" autoPict="0" r:id="rId9">
            <anchor moveWithCells="1">
              <from>
                <xdr:col>16</xdr:col>
                <xdr:colOff>561975</xdr:colOff>
                <xdr:row>15</xdr:row>
                <xdr:rowOff>47625</xdr:rowOff>
              </from>
              <to>
                <xdr:col>23</xdr:col>
                <xdr:colOff>295275</xdr:colOff>
                <xdr:row>29</xdr:row>
                <xdr:rowOff>28575</xdr:rowOff>
              </to>
            </anchor>
          </objectPr>
        </oleObject>
      </mc:Choice>
      <mc:Fallback>
        <oleObject progId="Visio.Drawing.11" shapeId="1090" r:id="rId8"/>
      </mc:Fallback>
    </mc:AlternateContent>
    <mc:AlternateContent xmlns:mc="http://schemas.openxmlformats.org/markup-compatibility/2006">
      <mc:Choice Requires="x14">
        <oleObject progId="Visio.Drawing.11" shapeId="1092" r:id="rId10">
          <objectPr defaultSize="0" autoPict="0" r:id="rId11">
            <anchor moveWithCells="1">
              <from>
                <xdr:col>3</xdr:col>
                <xdr:colOff>295275</xdr:colOff>
                <xdr:row>30</xdr:row>
                <xdr:rowOff>0</xdr:rowOff>
              </from>
              <to>
                <xdr:col>7</xdr:col>
                <xdr:colOff>514350</xdr:colOff>
                <xdr:row>60</xdr:row>
                <xdr:rowOff>9525</xdr:rowOff>
              </to>
            </anchor>
          </objectPr>
        </oleObject>
      </mc:Choice>
      <mc:Fallback>
        <oleObject progId="Visio.Drawing.11" shapeId="109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4"/>
  <sheetViews>
    <sheetView topLeftCell="A97" zoomScale="85" zoomScaleNormal="85" workbookViewId="0">
      <selection activeCell="J13" sqref="J13"/>
    </sheetView>
  </sheetViews>
  <sheetFormatPr defaultRowHeight="15" x14ac:dyDescent="0.25"/>
  <cols>
    <col min="1" max="1" width="28.85546875" style="340" bestFit="1" customWidth="1"/>
    <col min="2" max="2" width="12" style="340" bestFit="1" customWidth="1"/>
    <col min="3" max="3" width="4.140625" style="340" bestFit="1" customWidth="1"/>
    <col min="4" max="9" width="9.140625" style="340"/>
    <col min="10" max="10" width="28.7109375" style="340" customWidth="1"/>
    <col min="11" max="16384" width="9.140625" style="340"/>
  </cols>
  <sheetData>
    <row r="1" spans="1:26" s="428" customFormat="1" x14ac:dyDescent="0.25">
      <c r="A1" s="428" t="s">
        <v>800</v>
      </c>
    </row>
    <row r="2" spans="1:26" s="428" customFormat="1" x14ac:dyDescent="0.25"/>
    <row r="4" spans="1:26" ht="19.5" thickBot="1" x14ac:dyDescent="0.35">
      <c r="F4" s="346" t="s">
        <v>904</v>
      </c>
      <c r="G4" s="346"/>
      <c r="H4" s="346"/>
    </row>
    <row r="5" spans="1:26" ht="19.5" thickBot="1" x14ac:dyDescent="0.35">
      <c r="F5" s="348"/>
      <c r="G5" s="340" t="s">
        <v>903</v>
      </c>
      <c r="K5" s="429" t="s">
        <v>829</v>
      </c>
      <c r="L5" s="429"/>
      <c r="M5" s="429"/>
      <c r="N5" s="429"/>
      <c r="O5" s="429"/>
      <c r="P5" s="429"/>
      <c r="Q5" s="429"/>
      <c r="R5" s="429"/>
      <c r="S5" s="429"/>
      <c r="T5" s="429"/>
      <c r="U5" s="429"/>
      <c r="V5" s="429"/>
      <c r="W5" s="429"/>
      <c r="X5" s="429"/>
      <c r="Y5" s="429"/>
      <c r="Z5" s="429"/>
    </row>
    <row r="6" spans="1:26" ht="15.75" thickBot="1" x14ac:dyDescent="0.3">
      <c r="F6" s="349"/>
      <c r="G6" s="340" t="s">
        <v>905</v>
      </c>
      <c r="K6" s="340" t="s">
        <v>830</v>
      </c>
      <c r="N6" s="340" t="s">
        <v>832</v>
      </c>
      <c r="P6" s="340" t="s">
        <v>834</v>
      </c>
    </row>
    <row r="7" spans="1:26" ht="15.75" thickBot="1" x14ac:dyDescent="0.3">
      <c r="F7" s="350"/>
      <c r="G7" s="340" t="s">
        <v>906</v>
      </c>
      <c r="K7" s="340" t="s">
        <v>831</v>
      </c>
      <c r="N7" s="430" t="s">
        <v>833</v>
      </c>
    </row>
    <row r="8" spans="1:26" x14ac:dyDescent="0.25">
      <c r="K8" s="340" t="s">
        <v>959</v>
      </c>
      <c r="N8" s="430" t="s">
        <v>960</v>
      </c>
    </row>
    <row r="13" spans="1:26" ht="15.75" thickBot="1" x14ac:dyDescent="0.3"/>
    <row r="14" spans="1:26" ht="19.5" thickBot="1" x14ac:dyDescent="0.35">
      <c r="A14" s="431" t="s">
        <v>21</v>
      </c>
      <c r="B14" s="432"/>
      <c r="C14" s="433"/>
      <c r="D14" s="434" t="s">
        <v>23</v>
      </c>
      <c r="E14" s="435"/>
      <c r="F14" s="436"/>
      <c r="G14" s="431" t="s">
        <v>456</v>
      </c>
      <c r="H14" s="432"/>
    </row>
    <row r="15" spans="1:26" x14ac:dyDescent="0.25">
      <c r="A15" s="437" t="s">
        <v>14</v>
      </c>
      <c r="B15" s="438">
        <f>IF(Ns1_FlyB_Calc&lt;&gt;0,Ns1_FlyB_Calc/Np,0)</f>
        <v>1.06</v>
      </c>
      <c r="C15" s="439"/>
      <c r="D15" s="439" t="s">
        <v>14</v>
      </c>
      <c r="E15" s="299">
        <v>1.06</v>
      </c>
      <c r="F15" s="439"/>
      <c r="G15" s="299">
        <v>20</v>
      </c>
      <c r="H15" s="364" t="s">
        <v>431</v>
      </c>
    </row>
    <row r="16" spans="1:26" x14ac:dyDescent="0.25">
      <c r="A16" s="440" t="s">
        <v>15</v>
      </c>
      <c r="B16" s="441">
        <f>IF(Ns2_FlyB_Calc&lt;&gt;0,Ns2_FlyB_Calc/Np,0)</f>
        <v>1.06</v>
      </c>
      <c r="C16" s="365"/>
      <c r="D16" s="365" t="s">
        <v>15</v>
      </c>
      <c r="E16" s="294">
        <v>1.06</v>
      </c>
      <c r="F16" s="365"/>
      <c r="G16" s="294">
        <v>20</v>
      </c>
      <c r="H16" s="345" t="s">
        <v>431</v>
      </c>
    </row>
    <row r="17" spans="1:9" x14ac:dyDescent="0.25">
      <c r="A17" s="440" t="s">
        <v>16</v>
      </c>
      <c r="B17" s="441">
        <f>IF(Ns3_FlyB_Calc&lt;&gt;0,Ns3_FlyB_Calc/Np,0)</f>
        <v>0</v>
      </c>
      <c r="C17" s="365"/>
      <c r="D17" s="365" t="s">
        <v>16</v>
      </c>
      <c r="E17" s="294">
        <v>0</v>
      </c>
      <c r="F17" s="365"/>
      <c r="G17" s="294">
        <v>0</v>
      </c>
      <c r="H17" s="345" t="s">
        <v>431</v>
      </c>
    </row>
    <row r="18" spans="1:9" x14ac:dyDescent="0.25">
      <c r="A18" s="440" t="s">
        <v>17</v>
      </c>
      <c r="B18" s="441">
        <f>IF(Ns4_FlyB_Calc&lt;&gt;0,Ns4_FlyB_Calc/Np,0)</f>
        <v>0</v>
      </c>
      <c r="C18" s="365"/>
      <c r="D18" s="365" t="s">
        <v>17</v>
      </c>
      <c r="E18" s="294">
        <v>0</v>
      </c>
      <c r="F18" s="365"/>
      <c r="G18" s="294">
        <v>0</v>
      </c>
      <c r="H18" s="345" t="s">
        <v>431</v>
      </c>
    </row>
    <row r="19" spans="1:9" x14ac:dyDescent="0.25">
      <c r="A19" s="440" t="s">
        <v>18</v>
      </c>
      <c r="B19" s="441">
        <f>IF(Ns5_FlyB_Calc&lt;&gt;0,Ns5_FlyB_Calc/Np,0)</f>
        <v>0</v>
      </c>
      <c r="C19" s="365"/>
      <c r="D19" s="365" t="s">
        <v>18</v>
      </c>
      <c r="E19" s="294">
        <v>0</v>
      </c>
      <c r="F19" s="365"/>
      <c r="G19" s="294">
        <v>0</v>
      </c>
      <c r="H19" s="345" t="s">
        <v>431</v>
      </c>
    </row>
    <row r="20" spans="1:9" ht="15.75" thickBot="1" x14ac:dyDescent="0.3">
      <c r="A20" s="442" t="s">
        <v>19</v>
      </c>
      <c r="B20" s="443">
        <f>IF(Ns6_FlyB_Calc&lt;&gt;0,Ns6_FlyB_Calc/Np,0)</f>
        <v>0</v>
      </c>
      <c r="C20" s="444"/>
      <c r="D20" s="444" t="s">
        <v>19</v>
      </c>
      <c r="E20" s="298">
        <v>0</v>
      </c>
      <c r="F20" s="444"/>
      <c r="G20" s="298">
        <v>0</v>
      </c>
      <c r="H20" s="352" t="s">
        <v>431</v>
      </c>
    </row>
    <row r="21" spans="1:9" ht="15.75" thickBot="1" x14ac:dyDescent="0.3"/>
    <row r="22" spans="1:9" ht="19.5" thickBot="1" x14ac:dyDescent="0.35">
      <c r="A22" s="431" t="s">
        <v>801</v>
      </c>
      <c r="B22" s="445"/>
      <c r="C22" s="432"/>
    </row>
    <row r="23" spans="1:9" x14ac:dyDescent="0.25">
      <c r="A23" s="437" t="s">
        <v>63</v>
      </c>
      <c r="B23" s="446">
        <f>Lcalc_FB_VinNom*(10^6)</f>
        <v>45.859538784067084</v>
      </c>
      <c r="C23" s="364" t="s">
        <v>65</v>
      </c>
    </row>
    <row r="24" spans="1:9" x14ac:dyDescent="0.25">
      <c r="A24" s="440" t="s">
        <v>47</v>
      </c>
      <c r="B24" s="294">
        <v>42</v>
      </c>
      <c r="C24" s="345" t="s">
        <v>65</v>
      </c>
    </row>
    <row r="25" spans="1:9" ht="15.75" thickBot="1" x14ac:dyDescent="0.3">
      <c r="A25" s="442" t="s">
        <v>456</v>
      </c>
      <c r="B25" s="298">
        <v>70</v>
      </c>
      <c r="C25" s="352" t="s">
        <v>457</v>
      </c>
    </row>
    <row r="26" spans="1:9" ht="15.75" thickBot="1" x14ac:dyDescent="0.3"/>
    <row r="27" spans="1:9" ht="19.5" thickBot="1" x14ac:dyDescent="0.35">
      <c r="A27" s="447" t="s">
        <v>802</v>
      </c>
      <c r="B27" s="435"/>
      <c r="C27" s="436"/>
    </row>
    <row r="28" spans="1:9" x14ac:dyDescent="0.25">
      <c r="A28" s="437" t="s">
        <v>92</v>
      </c>
      <c r="B28" s="438">
        <f>MAX('Fly-Buck_Calc'!T4:T54)</f>
        <v>1.28885582010582</v>
      </c>
      <c r="C28" s="448" t="s">
        <v>6</v>
      </c>
    </row>
    <row r="29" spans="1:9" x14ac:dyDescent="0.25">
      <c r="A29" s="440" t="s">
        <v>93</v>
      </c>
      <c r="B29" s="441">
        <f>MAX('Fly-Buck_Calc'!S4:S54)</f>
        <v>0.35548941798941802</v>
      </c>
      <c r="C29" s="449" t="s">
        <v>6</v>
      </c>
    </row>
    <row r="30" spans="1:9" ht="15.75" thickBot="1" x14ac:dyDescent="0.3">
      <c r="A30" s="442" t="s">
        <v>94</v>
      </c>
      <c r="B30" s="443">
        <f>MAX('Fly-Buck_Calc'!V4:V54)</f>
        <v>0.8290422876600072</v>
      </c>
      <c r="C30" s="450" t="s">
        <v>6</v>
      </c>
    </row>
    <row r="31" spans="1:9" ht="15.75" thickBot="1" x14ac:dyDescent="0.3">
      <c r="A31" s="365"/>
      <c r="B31" s="451"/>
      <c r="C31" s="365"/>
      <c r="F31" s="365"/>
      <c r="G31" s="365"/>
      <c r="H31" s="365"/>
      <c r="I31" s="365"/>
    </row>
    <row r="32" spans="1:9" ht="19.5" thickBot="1" x14ac:dyDescent="0.35">
      <c r="A32" s="431" t="s">
        <v>624</v>
      </c>
      <c r="B32" s="445"/>
      <c r="C32" s="432"/>
      <c r="F32" s="365"/>
      <c r="G32" s="365"/>
      <c r="H32" s="365"/>
      <c r="I32" s="365"/>
    </row>
    <row r="33" spans="1:9" x14ac:dyDescent="0.25">
      <c r="A33" s="437" t="s">
        <v>116</v>
      </c>
      <c r="B33" s="452">
        <f>'Fly-Buck_Calc'!F120</f>
        <v>0</v>
      </c>
      <c r="C33" s="453"/>
      <c r="D33" s="365"/>
      <c r="F33" s="365"/>
    </row>
    <row r="34" spans="1:9" x14ac:dyDescent="0.25">
      <c r="A34" s="440" t="s">
        <v>117</v>
      </c>
      <c r="B34" s="454">
        <f>'Fly-Buck_Calc'!F112</f>
        <v>0</v>
      </c>
      <c r="C34" s="455"/>
      <c r="D34" s="365"/>
      <c r="F34" s="365"/>
      <c r="G34" s="365"/>
      <c r="H34" s="365"/>
      <c r="I34" s="365"/>
    </row>
    <row r="35" spans="1:9" x14ac:dyDescent="0.25">
      <c r="A35" s="440" t="s">
        <v>118</v>
      </c>
      <c r="B35" s="454">
        <f>'Fly-Buck_Calc'!F104</f>
        <v>0</v>
      </c>
      <c r="C35" s="455"/>
      <c r="D35" s="365"/>
      <c r="F35" s="365"/>
      <c r="H35" s="365"/>
      <c r="I35" s="365"/>
    </row>
    <row r="36" spans="1:9" x14ac:dyDescent="0.25">
      <c r="A36" s="440" t="s">
        <v>523</v>
      </c>
      <c r="B36" s="454">
        <f>'Fly-Buck_Calc'!F96</f>
        <v>1</v>
      </c>
      <c r="C36" s="455"/>
      <c r="D36" s="365"/>
      <c r="F36" s="365"/>
      <c r="G36" s="365"/>
      <c r="H36" s="365"/>
      <c r="I36" s="365"/>
    </row>
    <row r="37" spans="1:9" ht="15.75" thickBot="1" x14ac:dyDescent="0.3">
      <c r="A37" s="456" t="s">
        <v>526</v>
      </c>
      <c r="B37" s="465" t="s">
        <v>523</v>
      </c>
      <c r="C37" s="466"/>
      <c r="D37" s="365"/>
      <c r="F37" s="365"/>
      <c r="G37" s="365"/>
      <c r="H37" s="365"/>
      <c r="I37" s="365"/>
    </row>
    <row r="38" spans="1:9" x14ac:dyDescent="0.25">
      <c r="A38" s="365"/>
      <c r="B38" s="365"/>
      <c r="C38" s="365"/>
      <c r="D38" s="365"/>
      <c r="F38" s="365"/>
      <c r="G38" s="365"/>
      <c r="H38" s="365"/>
      <c r="I38" s="365"/>
    </row>
    <row r="39" spans="1:9" x14ac:dyDescent="0.25">
      <c r="A39" s="365"/>
      <c r="B39" s="365"/>
      <c r="C39" s="365"/>
      <c r="D39" s="365"/>
      <c r="F39" s="365"/>
      <c r="G39" s="365"/>
      <c r="H39" s="365"/>
      <c r="I39" s="365"/>
    </row>
    <row r="40" spans="1:9" x14ac:dyDescent="0.25">
      <c r="A40" s="365"/>
      <c r="B40" s="451"/>
      <c r="C40" s="365"/>
      <c r="F40" s="365"/>
      <c r="G40" s="365"/>
      <c r="H40" s="365"/>
      <c r="I40" s="365"/>
    </row>
    <row r="84" spans="1:14" ht="15.75" thickBot="1" x14ac:dyDescent="0.3"/>
    <row r="85" spans="1:14" ht="19.5" thickBot="1" x14ac:dyDescent="0.35">
      <c r="A85" s="431" t="s">
        <v>639</v>
      </c>
      <c r="B85" s="445"/>
      <c r="C85" s="432"/>
    </row>
    <row r="86" spans="1:14" x14ac:dyDescent="0.25">
      <c r="A86" s="437" t="s">
        <v>803</v>
      </c>
      <c r="B86" s="363">
        <f>'Fly-Buck_Calc'!B55</f>
        <v>50.580000000000005</v>
      </c>
      <c r="C86" s="364" t="s">
        <v>5</v>
      </c>
      <c r="L86" s="365"/>
      <c r="M86" s="365"/>
      <c r="N86" s="365"/>
    </row>
    <row r="87" spans="1:14" x14ac:dyDescent="0.25">
      <c r="A87" s="440" t="s">
        <v>804</v>
      </c>
      <c r="B87" s="376">
        <f>'Fly-Buck_Calc'!B56</f>
        <v>50.580000000000005</v>
      </c>
      <c r="C87" s="345" t="s">
        <v>5</v>
      </c>
      <c r="L87" s="365"/>
      <c r="M87" s="365"/>
      <c r="N87" s="365"/>
    </row>
    <row r="88" spans="1:14" x14ac:dyDescent="0.25">
      <c r="A88" s="440" t="s">
        <v>805</v>
      </c>
      <c r="B88" s="376">
        <f>'Fly-Buck_Calc'!B57</f>
        <v>0</v>
      </c>
      <c r="C88" s="345" t="s">
        <v>5</v>
      </c>
      <c r="L88" s="365"/>
      <c r="M88" s="365"/>
      <c r="N88" s="365"/>
    </row>
    <row r="89" spans="1:14" x14ac:dyDescent="0.25">
      <c r="A89" s="440" t="s">
        <v>806</v>
      </c>
      <c r="B89" s="376">
        <f>'Fly-Buck_Calc'!B58</f>
        <v>0</v>
      </c>
      <c r="C89" s="345" t="s">
        <v>5</v>
      </c>
      <c r="L89" s="365"/>
      <c r="M89" s="365"/>
      <c r="N89" s="365"/>
    </row>
    <row r="90" spans="1:14" x14ac:dyDescent="0.25">
      <c r="A90" s="440" t="s">
        <v>807</v>
      </c>
      <c r="B90" s="376">
        <f>'Fly-Buck_Calc'!B59</f>
        <v>0</v>
      </c>
      <c r="C90" s="345" t="s">
        <v>5</v>
      </c>
      <c r="L90" s="365"/>
      <c r="M90" s="365"/>
      <c r="N90" s="365"/>
    </row>
    <row r="91" spans="1:14" ht="15.75" thickBot="1" x14ac:dyDescent="0.3">
      <c r="A91" s="442" t="s">
        <v>808</v>
      </c>
      <c r="B91" s="378">
        <f>'Fly-Buck_Calc'!B60</f>
        <v>0</v>
      </c>
      <c r="C91" s="352" t="s">
        <v>5</v>
      </c>
      <c r="L91" s="365"/>
      <c r="M91" s="365"/>
      <c r="N91" s="365"/>
    </row>
    <row r="92" spans="1:14" x14ac:dyDescent="0.25">
      <c r="A92" s="365"/>
      <c r="B92" s="365"/>
      <c r="C92" s="365"/>
      <c r="L92" s="365"/>
      <c r="M92" s="365"/>
      <c r="N92" s="365"/>
    </row>
    <row r="93" spans="1:14" x14ac:dyDescent="0.25">
      <c r="A93" s="365"/>
      <c r="B93" s="365"/>
      <c r="C93" s="365"/>
      <c r="L93" s="365"/>
      <c r="M93" s="365"/>
      <c r="N93" s="365"/>
    </row>
    <row r="94" spans="1:14" ht="15.75" thickBot="1" x14ac:dyDescent="0.3"/>
    <row r="95" spans="1:14" ht="19.5" thickBot="1" x14ac:dyDescent="0.35">
      <c r="A95" s="431" t="s">
        <v>958</v>
      </c>
      <c r="B95" s="445"/>
      <c r="C95" s="432"/>
    </row>
    <row r="96" spans="1:14" x14ac:dyDescent="0.25">
      <c r="A96" s="457" t="s">
        <v>809</v>
      </c>
      <c r="B96" s="446">
        <f>'Fly-Buck_Calc'!B40*(10^6)</f>
        <v>39.25925925925926</v>
      </c>
      <c r="C96" s="448" t="s">
        <v>393</v>
      </c>
    </row>
    <row r="97" spans="1:15" x14ac:dyDescent="0.25">
      <c r="A97" s="458" t="s">
        <v>810</v>
      </c>
      <c r="B97" s="294">
        <v>100</v>
      </c>
      <c r="C97" s="449" t="s">
        <v>393</v>
      </c>
    </row>
    <row r="98" spans="1:15" ht="15.75" thickBot="1" x14ac:dyDescent="0.3">
      <c r="A98" s="459" t="s">
        <v>811</v>
      </c>
      <c r="B98" s="467">
        <v>10</v>
      </c>
      <c r="C98" s="450" t="s">
        <v>431</v>
      </c>
      <c r="K98" s="365"/>
      <c r="L98" s="365"/>
      <c r="M98" s="365"/>
      <c r="N98" s="365"/>
      <c r="O98" s="365"/>
    </row>
    <row r="99" spans="1:15" x14ac:dyDescent="0.25">
      <c r="A99" s="457" t="s">
        <v>306</v>
      </c>
      <c r="B99" s="446">
        <f>'Fly-Buck_Calc'!B42*(10^6)</f>
        <v>18.518518518518519</v>
      </c>
      <c r="C99" s="448" t="s">
        <v>393</v>
      </c>
      <c r="K99" s="365"/>
      <c r="L99" s="461"/>
      <c r="M99" s="461"/>
      <c r="N99" s="461"/>
      <c r="O99" s="461"/>
    </row>
    <row r="100" spans="1:15" x14ac:dyDescent="0.25">
      <c r="A100" s="458" t="s">
        <v>307</v>
      </c>
      <c r="B100" s="294">
        <v>20</v>
      </c>
      <c r="C100" s="449" t="s">
        <v>393</v>
      </c>
      <c r="K100" s="365"/>
      <c r="L100" s="365"/>
      <c r="M100" s="365"/>
      <c r="N100" s="365"/>
      <c r="O100" s="365"/>
    </row>
    <row r="101" spans="1:15" ht="15.75" thickBot="1" x14ac:dyDescent="0.3">
      <c r="A101" s="459" t="s">
        <v>704</v>
      </c>
      <c r="B101" s="468">
        <v>10</v>
      </c>
      <c r="C101" s="450" t="s">
        <v>431</v>
      </c>
      <c r="K101" s="365"/>
      <c r="L101" s="462"/>
      <c r="M101" s="365"/>
      <c r="N101" s="365"/>
      <c r="O101" s="365"/>
    </row>
    <row r="102" spans="1:15" x14ac:dyDescent="0.25">
      <c r="A102" s="457" t="s">
        <v>308</v>
      </c>
      <c r="B102" s="446">
        <f>'Fly-Buck_Calc'!B44*(10^6)</f>
        <v>18.518518518518519</v>
      </c>
      <c r="C102" s="448" t="s">
        <v>393</v>
      </c>
      <c r="K102" s="365"/>
      <c r="L102" s="365"/>
      <c r="M102" s="365"/>
      <c r="N102" s="365"/>
      <c r="O102" s="365"/>
    </row>
    <row r="103" spans="1:15" x14ac:dyDescent="0.25">
      <c r="A103" s="458" t="s">
        <v>309</v>
      </c>
      <c r="B103" s="376">
        <v>20</v>
      </c>
      <c r="C103" s="449" t="s">
        <v>393</v>
      </c>
      <c r="K103" s="365"/>
      <c r="L103" s="365"/>
      <c r="M103" s="365"/>
      <c r="N103" s="365"/>
      <c r="O103" s="365"/>
    </row>
    <row r="104" spans="1:15" ht="15.75" thickBot="1" x14ac:dyDescent="0.3">
      <c r="A104" s="459" t="s">
        <v>705</v>
      </c>
      <c r="B104" s="463">
        <v>10</v>
      </c>
      <c r="C104" s="450" t="s">
        <v>431</v>
      </c>
      <c r="K104" s="365"/>
      <c r="L104" s="365"/>
      <c r="M104" s="365"/>
      <c r="N104" s="365"/>
      <c r="O104" s="365"/>
    </row>
    <row r="105" spans="1:15" x14ac:dyDescent="0.25">
      <c r="A105" s="457" t="s">
        <v>310</v>
      </c>
      <c r="B105" s="446">
        <f>'Fly-Buck_Calc'!B46*(10^6)</f>
        <v>0</v>
      </c>
      <c r="C105" s="448" t="s">
        <v>393</v>
      </c>
      <c r="K105" s="365"/>
      <c r="L105" s="365"/>
      <c r="M105" s="365"/>
      <c r="N105" s="365"/>
      <c r="O105" s="365"/>
    </row>
    <row r="106" spans="1:15" x14ac:dyDescent="0.25">
      <c r="A106" s="458" t="s">
        <v>311</v>
      </c>
      <c r="B106" s="294">
        <v>0</v>
      </c>
      <c r="C106" s="449" t="s">
        <v>393</v>
      </c>
      <c r="K106" s="365"/>
      <c r="L106" s="365"/>
      <c r="M106" s="365"/>
      <c r="N106" s="365"/>
      <c r="O106" s="365"/>
    </row>
    <row r="107" spans="1:15" ht="15.75" thickBot="1" x14ac:dyDescent="0.3">
      <c r="A107" s="459" t="s">
        <v>706</v>
      </c>
      <c r="B107" s="468">
        <v>0</v>
      </c>
      <c r="C107" s="450" t="s">
        <v>431</v>
      </c>
      <c r="K107" s="365"/>
      <c r="L107" s="365"/>
      <c r="M107" s="365"/>
      <c r="N107" s="365"/>
      <c r="O107" s="365"/>
    </row>
    <row r="108" spans="1:15" x14ac:dyDescent="0.25">
      <c r="A108" s="457" t="s">
        <v>312</v>
      </c>
      <c r="B108" s="446">
        <f>'Fly-Buck_Calc'!B48*(10^6)</f>
        <v>0</v>
      </c>
      <c r="C108" s="448" t="s">
        <v>393</v>
      </c>
      <c r="K108" s="365"/>
      <c r="L108" s="365"/>
      <c r="M108" s="365"/>
      <c r="N108" s="365"/>
      <c r="O108" s="365"/>
    </row>
    <row r="109" spans="1:15" x14ac:dyDescent="0.25">
      <c r="A109" s="458" t="s">
        <v>313</v>
      </c>
      <c r="B109" s="294">
        <v>0</v>
      </c>
      <c r="C109" s="449" t="s">
        <v>393</v>
      </c>
      <c r="K109" s="365"/>
      <c r="L109" s="365"/>
      <c r="M109" s="365"/>
      <c r="N109" s="365"/>
      <c r="O109" s="365"/>
    </row>
    <row r="110" spans="1:15" ht="15.75" thickBot="1" x14ac:dyDescent="0.3">
      <c r="A110" s="459" t="s">
        <v>707</v>
      </c>
      <c r="B110" s="468">
        <v>0</v>
      </c>
      <c r="C110" s="450" t="s">
        <v>431</v>
      </c>
    </row>
    <row r="111" spans="1:15" x14ac:dyDescent="0.25">
      <c r="A111" s="457" t="s">
        <v>314</v>
      </c>
      <c r="B111" s="446">
        <f>'Fly-Buck_Calc'!B50*(10^6)</f>
        <v>0</v>
      </c>
      <c r="C111" s="448" t="s">
        <v>393</v>
      </c>
    </row>
    <row r="112" spans="1:15" x14ac:dyDescent="0.25">
      <c r="A112" s="458" t="s">
        <v>315</v>
      </c>
      <c r="B112" s="294">
        <v>0</v>
      </c>
      <c r="C112" s="449" t="s">
        <v>393</v>
      </c>
    </row>
    <row r="113" spans="1:3" ht="15.75" thickBot="1" x14ac:dyDescent="0.3">
      <c r="A113" s="459" t="s">
        <v>708</v>
      </c>
      <c r="B113" s="468">
        <v>0</v>
      </c>
      <c r="C113" s="450" t="s">
        <v>431</v>
      </c>
    </row>
    <row r="114" spans="1:3" x14ac:dyDescent="0.25">
      <c r="A114" s="457" t="s">
        <v>316</v>
      </c>
      <c r="B114" s="446">
        <f>'Fly-Buck_Calc'!B52*(10^6)</f>
        <v>0</v>
      </c>
      <c r="C114" s="448" t="s">
        <v>393</v>
      </c>
    </row>
    <row r="115" spans="1:3" x14ac:dyDescent="0.25">
      <c r="A115" s="458" t="s">
        <v>317</v>
      </c>
      <c r="B115" s="294">
        <v>0</v>
      </c>
      <c r="C115" s="449" t="s">
        <v>393</v>
      </c>
    </row>
    <row r="116" spans="1:3" ht="15.75" thickBot="1" x14ac:dyDescent="0.3">
      <c r="A116" s="459" t="s">
        <v>709</v>
      </c>
      <c r="B116" s="468">
        <v>0</v>
      </c>
      <c r="C116" s="450" t="s">
        <v>431</v>
      </c>
    </row>
    <row r="120" spans="1:3" x14ac:dyDescent="0.25">
      <c r="A120" s="340" t="s">
        <v>853</v>
      </c>
    </row>
    <row r="121" spans="1:3" ht="15.75" thickBot="1" x14ac:dyDescent="0.3"/>
    <row r="122" spans="1:3" ht="19.5" thickBot="1" x14ac:dyDescent="0.35">
      <c r="A122" s="431" t="s">
        <v>812</v>
      </c>
      <c r="B122" s="445"/>
      <c r="C122" s="432"/>
    </row>
    <row r="123" spans="1:3" x14ac:dyDescent="0.25">
      <c r="A123" s="437" t="s">
        <v>742</v>
      </c>
      <c r="B123" s="437">
        <f>'Fly-Buck_Calc'!B68</f>
        <v>2</v>
      </c>
      <c r="C123" s="364" t="s">
        <v>5</v>
      </c>
    </row>
    <row r="124" spans="1:3" x14ac:dyDescent="0.25">
      <c r="A124" s="440" t="s">
        <v>813</v>
      </c>
      <c r="B124" s="469">
        <v>6.04</v>
      </c>
      <c r="C124" s="345" t="s">
        <v>483</v>
      </c>
    </row>
    <row r="125" spans="1:3" x14ac:dyDescent="0.25">
      <c r="A125" s="440" t="s">
        <v>815</v>
      </c>
      <c r="B125" s="464">
        <f>(-B124*1000*B123)/(B123-ABS(VoutPri_FB))/1000</f>
        <v>4.0266666666666664</v>
      </c>
      <c r="C125" s="345" t="s">
        <v>483</v>
      </c>
    </row>
    <row r="126" spans="1:3" ht="15.75" thickBot="1" x14ac:dyDescent="0.3">
      <c r="A126" s="442" t="s">
        <v>816</v>
      </c>
      <c r="B126" s="470">
        <v>4</v>
      </c>
      <c r="C126" s="352" t="s">
        <v>483</v>
      </c>
    </row>
    <row r="127" spans="1:3" ht="15.75" thickBot="1" x14ac:dyDescent="0.3"/>
    <row r="128" spans="1:3" ht="19.5" thickBot="1" x14ac:dyDescent="0.35">
      <c r="A128" s="431" t="s">
        <v>957</v>
      </c>
      <c r="B128" s="445"/>
      <c r="C128" s="432"/>
    </row>
    <row r="129" spans="1:3" x14ac:dyDescent="0.25">
      <c r="A129" s="437" t="s">
        <v>817</v>
      </c>
      <c r="B129" s="299">
        <v>100</v>
      </c>
      <c r="C129" s="364" t="s">
        <v>454</v>
      </c>
    </row>
    <row r="130" spans="1:3" x14ac:dyDescent="0.25">
      <c r="A130" s="440" t="s">
        <v>819</v>
      </c>
      <c r="B130" s="441">
        <f>(15*(B124*1000+B125*1000))/(2*PI()*B124*1000*B125*1000*Fsw)*(10^9)</f>
        <v>3.2937695176302855</v>
      </c>
      <c r="C130" s="345" t="s">
        <v>454</v>
      </c>
    </row>
    <row r="131" spans="1:3" x14ac:dyDescent="0.25">
      <c r="A131" s="440" t="s">
        <v>820</v>
      </c>
      <c r="B131" s="294">
        <v>4</v>
      </c>
      <c r="C131" s="345" t="s">
        <v>454</v>
      </c>
    </row>
    <row r="132" spans="1:3" x14ac:dyDescent="0.25">
      <c r="A132" s="440" t="s">
        <v>821</v>
      </c>
      <c r="B132" s="441">
        <f>(VinMin-VoutPri_FB)*'Fly-Buck_Calc'!B10/(50*(10^-3))*(1/(B131*10^-9))/1000</f>
        <v>37.037037037037031</v>
      </c>
      <c r="C132" s="345" t="s">
        <v>483</v>
      </c>
    </row>
    <row r="133" spans="1:3" x14ac:dyDescent="0.25">
      <c r="A133" s="440" t="s">
        <v>822</v>
      </c>
      <c r="B133" s="294">
        <v>40</v>
      </c>
      <c r="C133" s="345" t="s">
        <v>747</v>
      </c>
    </row>
    <row r="134" spans="1:3" ht="15.75" thickBot="1" x14ac:dyDescent="0.3">
      <c r="A134" s="442" t="s">
        <v>823</v>
      </c>
      <c r="B134" s="443">
        <f>(VinMin-VoutPri_FB)*'Fly-Buck_Calc'!B10*(1/((B131*10^-9)*(B133*1000)))*1000</f>
        <v>46.296296296296283</v>
      </c>
      <c r="C134" s="352" t="s">
        <v>288</v>
      </c>
    </row>
  </sheetData>
  <sheetProtection password="E1A4" sheet="1" objects="1" scenarios="1"/>
  <mergeCells count="17">
    <mergeCell ref="A1:XFD2"/>
    <mergeCell ref="A22:C22"/>
    <mergeCell ref="A85:C85"/>
    <mergeCell ref="F4:H4"/>
    <mergeCell ref="A32:C32"/>
    <mergeCell ref="B33:C33"/>
    <mergeCell ref="B34:C34"/>
    <mergeCell ref="B35:C35"/>
    <mergeCell ref="B36:C36"/>
    <mergeCell ref="B37:C37"/>
    <mergeCell ref="G14:H14"/>
    <mergeCell ref="A14:B14"/>
    <mergeCell ref="A122:C122"/>
    <mergeCell ref="K5:Z5"/>
    <mergeCell ref="A128:C128"/>
    <mergeCell ref="A95:C95"/>
    <mergeCell ref="L99:O99"/>
  </mergeCells>
  <conditionalFormatting sqref="B33:B36">
    <cfRule type="cellIs" dxfId="13" priority="1" operator="equal">
      <formula>1</formula>
    </cfRule>
    <cfRule type="cellIs" dxfId="12" priority="2" operator="equal">
      <formula>0</formula>
    </cfRule>
  </conditionalFormatting>
  <dataValidations count="1">
    <dataValidation type="list" showInputMessage="1" showErrorMessage="1" sqref="B37">
      <formula1>Fly_Buck_Parts</formula1>
    </dataValidation>
  </dataValidations>
  <hyperlinks>
    <hyperlink ref="N7"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29706" r:id="rId5">
          <objectPr defaultSize="0" autoPict="0" r:id="rId6">
            <anchor moveWithCells="1">
              <from>
                <xdr:col>0</xdr:col>
                <xdr:colOff>0</xdr:colOff>
                <xdr:row>3</xdr:row>
                <xdr:rowOff>0</xdr:rowOff>
              </from>
              <to>
                <xdr:col>3</xdr:col>
                <xdr:colOff>590550</xdr:colOff>
                <xdr:row>11</xdr:row>
                <xdr:rowOff>171450</xdr:rowOff>
              </to>
            </anchor>
          </objectPr>
        </oleObject>
      </mc:Choice>
      <mc:Fallback>
        <oleObject progId="Visio.Drawing.11" shapeId="29706" r:id="rId5"/>
      </mc:Fallback>
    </mc:AlternateContent>
    <mc:AlternateContent xmlns:mc="http://schemas.openxmlformats.org/markup-compatibility/2006">
      <mc:Choice Requires="x14">
        <oleObject progId="Visio.Drawing.11" shapeId="29708" r:id="rId7">
          <objectPr defaultSize="0" autoPict="0" r:id="rId8">
            <anchor moveWithCells="1">
              <from>
                <xdr:col>3</xdr:col>
                <xdr:colOff>219075</xdr:colOff>
                <xdr:row>122</xdr:row>
                <xdr:rowOff>0</xdr:rowOff>
              </from>
              <to>
                <xdr:col>9</xdr:col>
                <xdr:colOff>171450</xdr:colOff>
                <xdr:row>133</xdr:row>
                <xdr:rowOff>142875</xdr:rowOff>
              </to>
            </anchor>
          </objectPr>
        </oleObject>
      </mc:Choice>
      <mc:Fallback>
        <oleObject progId="Visio.Drawing.11" shapeId="2970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29"/>
  <sheetViews>
    <sheetView zoomScale="85" zoomScaleNormal="85" workbookViewId="0">
      <selection activeCell="S4" sqref="S4"/>
    </sheetView>
  </sheetViews>
  <sheetFormatPr defaultRowHeight="15" x14ac:dyDescent="0.25"/>
  <cols>
    <col min="1" max="1" width="24.85546875" style="340" bestFit="1" customWidth="1"/>
    <col min="2" max="2" width="12" style="340" bestFit="1" customWidth="1"/>
    <col min="3" max="3" width="4.140625" style="340" bestFit="1" customWidth="1"/>
    <col min="4" max="7" width="9.140625" style="340"/>
    <col min="8" max="8" width="9" style="340" customWidth="1"/>
    <col min="9" max="16384" width="9.140625" style="340"/>
  </cols>
  <sheetData>
    <row r="1" spans="1:20" s="428" customFormat="1" x14ac:dyDescent="0.25">
      <c r="A1" s="428" t="s">
        <v>826</v>
      </c>
    </row>
    <row r="2" spans="1:20" s="428" customFormat="1" x14ac:dyDescent="0.25"/>
    <row r="4" spans="1:20" x14ac:dyDescent="0.25">
      <c r="M4" s="340" t="s">
        <v>835</v>
      </c>
      <c r="T4" s="340" t="s">
        <v>838</v>
      </c>
    </row>
    <row r="5" spans="1:20" ht="19.5" thickBot="1" x14ac:dyDescent="0.35">
      <c r="G5" s="346" t="s">
        <v>904</v>
      </c>
      <c r="H5" s="346"/>
      <c r="I5" s="346"/>
      <c r="M5" s="365" t="s">
        <v>836</v>
      </c>
      <c r="N5" s="365" t="s">
        <v>837</v>
      </c>
      <c r="O5" s="365"/>
      <c r="P5" s="365"/>
      <c r="Q5" s="365"/>
      <c r="R5" s="365"/>
    </row>
    <row r="6" spans="1:20" ht="15.75" thickBot="1" x14ac:dyDescent="0.3">
      <c r="G6" s="348"/>
      <c r="H6" s="340" t="s">
        <v>903</v>
      </c>
      <c r="M6" s="365" t="s">
        <v>839</v>
      </c>
      <c r="N6" s="471" t="s">
        <v>840</v>
      </c>
      <c r="O6" s="365"/>
      <c r="P6" s="365"/>
      <c r="Q6" s="365"/>
      <c r="R6" s="365"/>
    </row>
    <row r="7" spans="1:20" ht="15.75" thickBot="1" x14ac:dyDescent="0.3">
      <c r="G7" s="349"/>
      <c r="H7" s="340" t="s">
        <v>905</v>
      </c>
    </row>
    <row r="8" spans="1:20" ht="15.75" thickBot="1" x14ac:dyDescent="0.3">
      <c r="G8" s="350"/>
      <c r="H8" s="340" t="s">
        <v>906</v>
      </c>
    </row>
    <row r="13" spans="1:20" ht="15.75" thickBot="1" x14ac:dyDescent="0.3"/>
    <row r="14" spans="1:20" ht="15.75" thickBot="1" x14ac:dyDescent="0.3">
      <c r="A14" s="472" t="s">
        <v>952</v>
      </c>
      <c r="B14" s="473"/>
      <c r="C14" s="473"/>
      <c r="D14" s="473"/>
      <c r="E14" s="473"/>
      <c r="F14" s="474"/>
      <c r="G14" s="472" t="s">
        <v>456</v>
      </c>
      <c r="H14" s="474"/>
    </row>
    <row r="15" spans="1:20" x14ac:dyDescent="0.25">
      <c r="A15" s="437" t="s">
        <v>14</v>
      </c>
      <c r="B15" s="438">
        <f>IF(Ns1_FlyBB_Calc&lt;&gt;0,Ns1_FlyBB_Calc/Np,0)</f>
        <v>0.58888888888888891</v>
      </c>
      <c r="C15" s="439"/>
      <c r="D15" s="439" t="s">
        <v>14</v>
      </c>
      <c r="E15" s="299">
        <v>0.58899999999999997</v>
      </c>
      <c r="F15" s="439"/>
      <c r="G15" s="299">
        <v>20</v>
      </c>
      <c r="H15" s="364" t="s">
        <v>431</v>
      </c>
      <c r="L15" s="365"/>
    </row>
    <row r="16" spans="1:20" x14ac:dyDescent="0.25">
      <c r="A16" s="440" t="s">
        <v>15</v>
      </c>
      <c r="B16" s="441">
        <f>IF(Ns2_FlyBB_Calc&lt;&gt;0,Ns2_FlyBB_Calc/Np,0)</f>
        <v>0.58888888888888891</v>
      </c>
      <c r="C16" s="365"/>
      <c r="D16" s="365" t="s">
        <v>15</v>
      </c>
      <c r="E16" s="294">
        <v>0.58899999999999997</v>
      </c>
      <c r="F16" s="365"/>
      <c r="G16" s="294">
        <v>20</v>
      </c>
      <c r="H16" s="345" t="s">
        <v>431</v>
      </c>
      <c r="L16" s="365"/>
    </row>
    <row r="17" spans="1:18" x14ac:dyDescent="0.25">
      <c r="A17" s="440" t="s">
        <v>16</v>
      </c>
      <c r="B17" s="441">
        <f>IF(Ns3_FlyBB_Calc&lt;&gt;0,Ns3_FlyBB_Calc/Np,0)</f>
        <v>0</v>
      </c>
      <c r="C17" s="365"/>
      <c r="D17" s="365" t="s">
        <v>16</v>
      </c>
      <c r="E17" s="294">
        <v>0</v>
      </c>
      <c r="F17" s="365"/>
      <c r="G17" s="294">
        <v>0</v>
      </c>
      <c r="H17" s="345" t="s">
        <v>431</v>
      </c>
      <c r="L17" s="365"/>
      <c r="M17" s="461"/>
      <c r="N17" s="461"/>
      <c r="O17" s="461"/>
      <c r="P17" s="461"/>
      <c r="Q17" s="461"/>
      <c r="R17" s="461"/>
    </row>
    <row r="18" spans="1:18" x14ac:dyDescent="0.25">
      <c r="A18" s="440" t="s">
        <v>17</v>
      </c>
      <c r="B18" s="441">
        <f>IF(Ns4_FlyBB_Calc&lt;&gt;0,Ns4_FlyBB_Calc/Np,0)</f>
        <v>0</v>
      </c>
      <c r="C18" s="365"/>
      <c r="D18" s="365" t="s">
        <v>17</v>
      </c>
      <c r="E18" s="294">
        <v>0</v>
      </c>
      <c r="F18" s="365"/>
      <c r="G18" s="294">
        <v>0</v>
      </c>
      <c r="H18" s="345" t="s">
        <v>431</v>
      </c>
      <c r="L18" s="365"/>
      <c r="M18" s="365"/>
      <c r="N18" s="365"/>
      <c r="O18" s="365"/>
      <c r="P18" s="365"/>
      <c r="Q18" s="365"/>
      <c r="R18" s="365"/>
    </row>
    <row r="19" spans="1:18" x14ac:dyDescent="0.25">
      <c r="A19" s="440" t="s">
        <v>18</v>
      </c>
      <c r="B19" s="441">
        <f>IF(Ns5_FlyBB_Calc&lt;&gt;0,Ns5_FlyBB_Calc/Np,0)</f>
        <v>0</v>
      </c>
      <c r="C19" s="365"/>
      <c r="D19" s="365" t="s">
        <v>18</v>
      </c>
      <c r="E19" s="294">
        <v>0</v>
      </c>
      <c r="F19" s="365"/>
      <c r="G19" s="294">
        <v>0</v>
      </c>
      <c r="H19" s="345" t="s">
        <v>431</v>
      </c>
      <c r="L19" s="365"/>
      <c r="M19" s="365"/>
      <c r="N19" s="365"/>
      <c r="O19" s="365"/>
      <c r="P19" s="365"/>
      <c r="Q19" s="365"/>
      <c r="R19" s="365"/>
    </row>
    <row r="20" spans="1:18" ht="15.75" thickBot="1" x14ac:dyDescent="0.3">
      <c r="A20" s="442" t="s">
        <v>19</v>
      </c>
      <c r="B20" s="443">
        <f>IF(Ns6_FlyBB_Calc&lt;&gt;0,Ns6_FlyBB_Calc/Np,0)</f>
        <v>0</v>
      </c>
      <c r="C20" s="444"/>
      <c r="D20" s="444" t="s">
        <v>19</v>
      </c>
      <c r="E20" s="298">
        <v>0</v>
      </c>
      <c r="F20" s="444"/>
      <c r="G20" s="298">
        <v>0</v>
      </c>
      <c r="H20" s="352" t="s">
        <v>431</v>
      </c>
      <c r="L20" s="365"/>
      <c r="M20" s="365"/>
      <c r="N20" s="365"/>
      <c r="O20" s="365"/>
      <c r="P20" s="365"/>
      <c r="Q20" s="365"/>
      <c r="R20" s="365"/>
    </row>
    <row r="21" spans="1:18" ht="15.75" thickBot="1" x14ac:dyDescent="0.3">
      <c r="L21" s="365"/>
      <c r="M21" s="365"/>
      <c r="N21" s="365"/>
      <c r="O21" s="365"/>
      <c r="P21" s="365"/>
      <c r="Q21" s="365"/>
      <c r="R21" s="365"/>
    </row>
    <row r="22" spans="1:18" ht="15.75" thickBot="1" x14ac:dyDescent="0.3">
      <c r="A22" s="472" t="s">
        <v>801</v>
      </c>
      <c r="B22" s="473"/>
      <c r="C22" s="474"/>
      <c r="E22" s="365"/>
      <c r="F22" s="365"/>
      <c r="G22" s="365"/>
      <c r="H22" s="365"/>
      <c r="I22" s="365"/>
      <c r="J22" s="365"/>
      <c r="L22" s="365"/>
      <c r="M22" s="365"/>
      <c r="N22" s="365"/>
      <c r="O22" s="365"/>
      <c r="P22" s="365"/>
      <c r="Q22" s="365"/>
      <c r="R22" s="365"/>
    </row>
    <row r="23" spans="1:18" x14ac:dyDescent="0.25">
      <c r="A23" s="437" t="s">
        <v>64</v>
      </c>
      <c r="B23" s="446">
        <f>Lcalc_FBB_VinNom*(10^6)</f>
        <v>145.52510308028135</v>
      </c>
      <c r="C23" s="448" t="s">
        <v>65</v>
      </c>
      <c r="E23" s="365"/>
      <c r="F23" s="365"/>
      <c r="G23" s="365"/>
      <c r="H23" s="365"/>
      <c r="I23" s="365"/>
      <c r="J23" s="365"/>
      <c r="L23" s="365"/>
      <c r="M23" s="365"/>
      <c r="N23" s="365"/>
      <c r="O23" s="365"/>
      <c r="P23" s="365"/>
      <c r="Q23" s="365"/>
      <c r="R23" s="365"/>
    </row>
    <row r="24" spans="1:18" x14ac:dyDescent="0.25">
      <c r="A24" s="440" t="s">
        <v>48</v>
      </c>
      <c r="B24" s="294">
        <v>145</v>
      </c>
      <c r="C24" s="449" t="s">
        <v>65</v>
      </c>
      <c r="E24" s="365"/>
      <c r="F24" s="365"/>
      <c r="G24" s="365"/>
      <c r="H24" s="365"/>
      <c r="I24" s="365"/>
      <c r="J24" s="365"/>
      <c r="L24" s="365"/>
      <c r="M24" s="365"/>
      <c r="N24" s="365"/>
      <c r="O24" s="365"/>
      <c r="P24" s="365"/>
      <c r="Q24" s="365"/>
      <c r="R24" s="365"/>
    </row>
    <row r="25" spans="1:18" ht="15.75" thickBot="1" x14ac:dyDescent="0.3">
      <c r="A25" s="442" t="s">
        <v>456</v>
      </c>
      <c r="B25" s="298">
        <v>70</v>
      </c>
      <c r="C25" s="450" t="s">
        <v>457</v>
      </c>
      <c r="E25" s="365"/>
      <c r="F25" s="365"/>
      <c r="G25" s="365"/>
      <c r="H25" s="365"/>
      <c r="I25" s="365"/>
      <c r="J25" s="365"/>
      <c r="L25" s="365"/>
      <c r="M25" s="365"/>
      <c r="N25" s="365"/>
      <c r="O25" s="365"/>
      <c r="P25" s="365"/>
      <c r="Q25" s="365"/>
      <c r="R25" s="365"/>
    </row>
    <row r="26" spans="1:18" ht="15.75" thickBot="1" x14ac:dyDescent="0.3">
      <c r="E26" s="365"/>
      <c r="F26" s="365"/>
      <c r="G26" s="365"/>
      <c r="H26" s="365"/>
      <c r="I26" s="365"/>
      <c r="J26" s="365"/>
      <c r="L26" s="365"/>
      <c r="M26" s="365"/>
      <c r="N26" s="365"/>
      <c r="O26" s="365"/>
      <c r="P26" s="365"/>
      <c r="Q26" s="365"/>
      <c r="R26" s="365"/>
    </row>
    <row r="27" spans="1:18" ht="15.75" thickBot="1" x14ac:dyDescent="0.3">
      <c r="A27" s="472" t="s">
        <v>824</v>
      </c>
      <c r="B27" s="473"/>
      <c r="C27" s="474"/>
      <c r="E27" s="365"/>
      <c r="F27" s="365"/>
      <c r="G27" s="365"/>
      <c r="H27" s="365"/>
      <c r="I27" s="365"/>
      <c r="J27" s="365"/>
      <c r="L27" s="365"/>
      <c r="M27" s="365"/>
      <c r="N27" s="365"/>
      <c r="O27" s="365"/>
      <c r="P27" s="365"/>
      <c r="Q27" s="365"/>
      <c r="R27" s="365"/>
    </row>
    <row r="28" spans="1:18" x14ac:dyDescent="0.25">
      <c r="A28" s="437" t="s">
        <v>97</v>
      </c>
      <c r="B28" s="438">
        <f>MAX('Fly-BB_Calc'!T4:T54)</f>
        <v>1.2862920391656025</v>
      </c>
      <c r="C28" s="448" t="s">
        <v>6</v>
      </c>
      <c r="E28" s="365"/>
      <c r="F28" s="365"/>
      <c r="G28" s="365"/>
      <c r="H28" s="365"/>
      <c r="I28" s="365"/>
      <c r="J28" s="365"/>
      <c r="L28" s="365"/>
      <c r="M28" s="365"/>
      <c r="N28" s="365"/>
      <c r="O28" s="365"/>
      <c r="P28" s="365"/>
      <c r="Q28" s="365"/>
      <c r="R28" s="365"/>
    </row>
    <row r="29" spans="1:18" x14ac:dyDescent="0.25">
      <c r="A29" s="440" t="s">
        <v>98</v>
      </c>
      <c r="B29" s="441">
        <f>MAX('Fly-BB_Calc'!S4:S54)</f>
        <v>0.17422867513611615</v>
      </c>
      <c r="C29" s="449" t="s">
        <v>6</v>
      </c>
      <c r="E29" s="365"/>
      <c r="F29" s="365"/>
      <c r="G29" s="365"/>
      <c r="H29" s="365"/>
      <c r="I29" s="365"/>
      <c r="J29" s="365"/>
    </row>
    <row r="30" spans="1:18" ht="15.75" thickBot="1" x14ac:dyDescent="0.3">
      <c r="A30" s="442" t="s">
        <v>99</v>
      </c>
      <c r="B30" s="443">
        <f>MAX('Fly-BB_Calc'!V4:V54)</f>
        <v>0.87322668827753314</v>
      </c>
      <c r="C30" s="450" t="s">
        <v>6</v>
      </c>
      <c r="E30" s="365"/>
      <c r="F30" s="365"/>
      <c r="G30" s="365"/>
      <c r="H30" s="365"/>
      <c r="I30" s="365"/>
      <c r="J30" s="365"/>
    </row>
    <row r="31" spans="1:18" ht="15.75" thickBot="1" x14ac:dyDescent="0.3">
      <c r="E31" s="365"/>
      <c r="F31" s="365"/>
      <c r="G31" s="365"/>
      <c r="H31" s="365"/>
      <c r="I31" s="365"/>
      <c r="J31" s="365"/>
    </row>
    <row r="32" spans="1:18" ht="15.75" thickBot="1" x14ac:dyDescent="0.3">
      <c r="A32" s="472" t="s">
        <v>624</v>
      </c>
      <c r="B32" s="474"/>
      <c r="C32" s="475"/>
      <c r="E32" s="365"/>
      <c r="F32" s="365"/>
      <c r="G32" s="365"/>
      <c r="H32" s="365"/>
      <c r="I32" s="365"/>
      <c r="J32" s="365"/>
    </row>
    <row r="33" spans="1:10" x14ac:dyDescent="0.25">
      <c r="A33" s="437" t="s">
        <v>116</v>
      </c>
      <c r="B33" s="476">
        <f>'Fly-BB_Calc'!F105</f>
        <v>0</v>
      </c>
      <c r="C33" s="477"/>
      <c r="E33" s="365"/>
      <c r="F33" s="365"/>
      <c r="G33" s="365"/>
      <c r="H33" s="365"/>
      <c r="I33" s="365"/>
      <c r="J33" s="365"/>
    </row>
    <row r="34" spans="1:10" x14ac:dyDescent="0.25">
      <c r="A34" s="440" t="s">
        <v>117</v>
      </c>
      <c r="B34" s="478">
        <f>'Fly-BB_Calc'!F113</f>
        <v>0</v>
      </c>
      <c r="C34" s="477"/>
    </row>
    <row r="35" spans="1:10" x14ac:dyDescent="0.25">
      <c r="A35" s="440" t="s">
        <v>118</v>
      </c>
      <c r="B35" s="478">
        <f>'Fly-BB_Calc'!F121</f>
        <v>0</v>
      </c>
      <c r="C35" s="477"/>
    </row>
    <row r="36" spans="1:10" x14ac:dyDescent="0.25">
      <c r="A36" s="440" t="s">
        <v>523</v>
      </c>
      <c r="B36" s="478">
        <f>'Fly-BB_Calc'!F97</f>
        <v>1</v>
      </c>
      <c r="C36" s="477"/>
    </row>
    <row r="37" spans="1:10" ht="15.75" thickBot="1" x14ac:dyDescent="0.3">
      <c r="A37" s="456" t="s">
        <v>526</v>
      </c>
      <c r="B37" s="485" t="s">
        <v>523</v>
      </c>
      <c r="C37" s="475"/>
    </row>
    <row r="80" ht="15.75" thickBot="1" x14ac:dyDescent="0.3"/>
    <row r="81" spans="1:3" ht="15.75" thickBot="1" x14ac:dyDescent="0.3">
      <c r="A81" s="472" t="s">
        <v>639</v>
      </c>
      <c r="B81" s="473"/>
      <c r="C81" s="474"/>
    </row>
    <row r="82" spans="1:3" x14ac:dyDescent="0.25">
      <c r="A82" s="437" t="s">
        <v>803</v>
      </c>
      <c r="B82" s="363">
        <f>'Fly-BB_Calc'!B54</f>
        <v>33.271999999999998</v>
      </c>
      <c r="C82" s="364" t="s">
        <v>5</v>
      </c>
    </row>
    <row r="83" spans="1:3" x14ac:dyDescent="0.25">
      <c r="A83" s="440" t="s">
        <v>804</v>
      </c>
      <c r="B83" s="376">
        <f>'Fly-BB_Calc'!B55</f>
        <v>33.271999999999998</v>
      </c>
      <c r="C83" s="345" t="s">
        <v>5</v>
      </c>
    </row>
    <row r="84" spans="1:3" x14ac:dyDescent="0.25">
      <c r="A84" s="440" t="s">
        <v>805</v>
      </c>
      <c r="B84" s="376">
        <f>'Fly-BB_Calc'!B56</f>
        <v>0</v>
      </c>
      <c r="C84" s="345" t="s">
        <v>5</v>
      </c>
    </row>
    <row r="85" spans="1:3" x14ac:dyDescent="0.25">
      <c r="A85" s="440" t="s">
        <v>806</v>
      </c>
      <c r="B85" s="376">
        <f>'Fly-BB_Calc'!B57</f>
        <v>0</v>
      </c>
      <c r="C85" s="345" t="s">
        <v>5</v>
      </c>
    </row>
    <row r="86" spans="1:3" x14ac:dyDescent="0.25">
      <c r="A86" s="440" t="s">
        <v>807</v>
      </c>
      <c r="B86" s="376">
        <f>'Fly-BB_Calc'!B58</f>
        <v>0</v>
      </c>
      <c r="C86" s="345" t="s">
        <v>5</v>
      </c>
    </row>
    <row r="87" spans="1:3" ht="15.75" thickBot="1" x14ac:dyDescent="0.3">
      <c r="A87" s="442" t="s">
        <v>808</v>
      </c>
      <c r="B87" s="378">
        <f>'Fly-BB_Calc'!B59</f>
        <v>0</v>
      </c>
      <c r="C87" s="352" t="s">
        <v>5</v>
      </c>
    </row>
    <row r="89" spans="1:3" ht="15.75" thickBot="1" x14ac:dyDescent="0.3"/>
    <row r="90" spans="1:3" ht="15.75" thickBot="1" x14ac:dyDescent="0.3">
      <c r="A90" s="472" t="s">
        <v>825</v>
      </c>
      <c r="B90" s="473"/>
      <c r="C90" s="474"/>
    </row>
    <row r="91" spans="1:3" x14ac:dyDescent="0.25">
      <c r="A91" s="457" t="s">
        <v>809</v>
      </c>
      <c r="B91" s="446">
        <f>'Fly-BB_Calc'!B39*(10^6)</f>
        <v>41.152263374485592</v>
      </c>
      <c r="C91" s="448" t="s">
        <v>393</v>
      </c>
    </row>
    <row r="92" spans="1:3" x14ac:dyDescent="0.25">
      <c r="A92" s="458" t="s">
        <v>810</v>
      </c>
      <c r="B92" s="294">
        <v>47</v>
      </c>
      <c r="C92" s="449" t="s">
        <v>393</v>
      </c>
    </row>
    <row r="93" spans="1:3" ht="15.75" thickBot="1" x14ac:dyDescent="0.3">
      <c r="A93" s="459" t="s">
        <v>811</v>
      </c>
      <c r="B93" s="467">
        <v>4</v>
      </c>
      <c r="C93" s="450" t="s">
        <v>431</v>
      </c>
    </row>
    <row r="94" spans="1:3" x14ac:dyDescent="0.25">
      <c r="A94" s="457" t="s">
        <v>306</v>
      </c>
      <c r="B94" s="446">
        <f>'Fly-BB_Calc'!B41*(10^6)</f>
        <v>16.666666666666664</v>
      </c>
      <c r="C94" s="448" t="s">
        <v>393</v>
      </c>
    </row>
    <row r="95" spans="1:3" x14ac:dyDescent="0.25">
      <c r="A95" s="458" t="s">
        <v>307</v>
      </c>
      <c r="B95" s="294">
        <v>20</v>
      </c>
      <c r="C95" s="449" t="s">
        <v>393</v>
      </c>
    </row>
    <row r="96" spans="1:3" ht="15.75" thickBot="1" x14ac:dyDescent="0.3">
      <c r="A96" s="459" t="s">
        <v>704</v>
      </c>
      <c r="B96" s="467">
        <v>5</v>
      </c>
      <c r="C96" s="450" t="s">
        <v>431</v>
      </c>
    </row>
    <row r="97" spans="1:3" x14ac:dyDescent="0.25">
      <c r="A97" s="457" t="s">
        <v>308</v>
      </c>
      <c r="B97" s="446">
        <f>'Fly-BB_Calc'!B43*(10^6)</f>
        <v>16.666666666666664</v>
      </c>
      <c r="C97" s="448" t="s">
        <v>393</v>
      </c>
    </row>
    <row r="98" spans="1:3" x14ac:dyDescent="0.25">
      <c r="A98" s="458" t="s">
        <v>309</v>
      </c>
      <c r="B98" s="294">
        <v>20</v>
      </c>
      <c r="C98" s="449" t="s">
        <v>393</v>
      </c>
    </row>
    <row r="99" spans="1:3" ht="15.75" thickBot="1" x14ac:dyDescent="0.3">
      <c r="A99" s="459" t="s">
        <v>705</v>
      </c>
      <c r="B99" s="467">
        <v>5</v>
      </c>
      <c r="C99" s="450" t="s">
        <v>431</v>
      </c>
    </row>
    <row r="100" spans="1:3" x14ac:dyDescent="0.25">
      <c r="A100" s="457" t="s">
        <v>310</v>
      </c>
      <c r="B100" s="446">
        <f>'Fly-BB_Calc'!B45*(10^6)</f>
        <v>0</v>
      </c>
      <c r="C100" s="448" t="s">
        <v>393</v>
      </c>
    </row>
    <row r="101" spans="1:3" x14ac:dyDescent="0.25">
      <c r="A101" s="458" t="s">
        <v>311</v>
      </c>
      <c r="B101" s="294">
        <v>0</v>
      </c>
      <c r="C101" s="449" t="s">
        <v>393</v>
      </c>
    </row>
    <row r="102" spans="1:3" ht="15.75" thickBot="1" x14ac:dyDescent="0.3">
      <c r="A102" s="459" t="s">
        <v>706</v>
      </c>
      <c r="B102" s="467">
        <v>0</v>
      </c>
      <c r="C102" s="450" t="s">
        <v>431</v>
      </c>
    </row>
    <row r="103" spans="1:3" x14ac:dyDescent="0.25">
      <c r="A103" s="457" t="s">
        <v>312</v>
      </c>
      <c r="B103" s="446">
        <f>'Fly-BB_Calc'!B47*(10^6)</f>
        <v>0</v>
      </c>
      <c r="C103" s="448" t="s">
        <v>393</v>
      </c>
    </row>
    <row r="104" spans="1:3" x14ac:dyDescent="0.25">
      <c r="A104" s="458" t="s">
        <v>313</v>
      </c>
      <c r="B104" s="294">
        <v>0</v>
      </c>
      <c r="C104" s="449" t="s">
        <v>393</v>
      </c>
    </row>
    <row r="105" spans="1:3" ht="15.75" thickBot="1" x14ac:dyDescent="0.3">
      <c r="A105" s="459" t="s">
        <v>707</v>
      </c>
      <c r="B105" s="467"/>
      <c r="C105" s="450" t="s">
        <v>431</v>
      </c>
    </row>
    <row r="106" spans="1:3" x14ac:dyDescent="0.25">
      <c r="A106" s="457" t="s">
        <v>314</v>
      </c>
      <c r="B106" s="446">
        <f>'Fly-BB_Calc'!B49*(10^6)</f>
        <v>0</v>
      </c>
      <c r="C106" s="448" t="s">
        <v>393</v>
      </c>
    </row>
    <row r="107" spans="1:3" x14ac:dyDescent="0.25">
      <c r="A107" s="458" t="s">
        <v>315</v>
      </c>
      <c r="B107" s="294">
        <v>0</v>
      </c>
      <c r="C107" s="449" t="s">
        <v>393</v>
      </c>
    </row>
    <row r="108" spans="1:3" ht="15.75" thickBot="1" x14ac:dyDescent="0.3">
      <c r="A108" s="459" t="s">
        <v>708</v>
      </c>
      <c r="B108" s="467">
        <v>0</v>
      </c>
      <c r="C108" s="450" t="s">
        <v>431</v>
      </c>
    </row>
    <row r="109" spans="1:3" x14ac:dyDescent="0.25">
      <c r="A109" s="458" t="s">
        <v>316</v>
      </c>
      <c r="B109" s="479">
        <f>'Fly-BB_Calc'!B51*(10^6)</f>
        <v>0</v>
      </c>
      <c r="C109" s="480" t="s">
        <v>393</v>
      </c>
    </row>
    <row r="110" spans="1:3" x14ac:dyDescent="0.25">
      <c r="A110" s="458" t="s">
        <v>317</v>
      </c>
      <c r="B110" s="294">
        <v>0</v>
      </c>
      <c r="C110" s="449" t="s">
        <v>393</v>
      </c>
    </row>
    <row r="111" spans="1:3" ht="15.75" thickBot="1" x14ac:dyDescent="0.3">
      <c r="A111" s="459" t="s">
        <v>709</v>
      </c>
      <c r="B111" s="467">
        <v>0</v>
      </c>
      <c r="C111" s="450" t="s">
        <v>431</v>
      </c>
    </row>
    <row r="114" spans="1:3" x14ac:dyDescent="0.25">
      <c r="A114" s="481" t="s">
        <v>503</v>
      </c>
      <c r="B114" s="481"/>
      <c r="C114" s="481"/>
    </row>
    <row r="115" spans="1:3" x14ac:dyDescent="0.25">
      <c r="A115" s="481"/>
      <c r="B115" s="481"/>
      <c r="C115" s="481"/>
    </row>
    <row r="117" spans="1:3" ht="15.75" thickBot="1" x14ac:dyDescent="0.3">
      <c r="A117" s="340" t="s">
        <v>812</v>
      </c>
    </row>
    <row r="118" spans="1:3" x14ac:dyDescent="0.25">
      <c r="A118" s="437" t="s">
        <v>742</v>
      </c>
      <c r="B118" s="439">
        <f>'Fly-BB_Calc'!B67</f>
        <v>2</v>
      </c>
      <c r="C118" s="364" t="s">
        <v>5</v>
      </c>
    </row>
    <row r="119" spans="1:3" x14ac:dyDescent="0.25">
      <c r="A119" s="440" t="s">
        <v>813</v>
      </c>
      <c r="B119" s="482">
        <v>20</v>
      </c>
      <c r="C119" s="345" t="s">
        <v>483</v>
      </c>
    </row>
    <row r="120" spans="1:3" x14ac:dyDescent="0.25">
      <c r="A120" s="440" t="s">
        <v>815</v>
      </c>
      <c r="B120" s="451">
        <f>((-B119*1000*B118)/(B118-ABS(VoutPri_FBB)))/1000</f>
        <v>5.7142857142857144</v>
      </c>
      <c r="C120" s="345" t="s">
        <v>483</v>
      </c>
    </row>
    <row r="121" spans="1:3" ht="15.75" thickBot="1" x14ac:dyDescent="0.3">
      <c r="A121" s="442" t="s">
        <v>816</v>
      </c>
      <c r="B121" s="460">
        <v>5.7140000000000004</v>
      </c>
      <c r="C121" s="352" t="s">
        <v>483</v>
      </c>
    </row>
    <row r="123" spans="1:3" ht="15.75" thickBot="1" x14ac:dyDescent="0.3">
      <c r="A123" s="340" t="s">
        <v>818</v>
      </c>
    </row>
    <row r="124" spans="1:3" x14ac:dyDescent="0.25">
      <c r="A124" s="437" t="s">
        <v>817</v>
      </c>
      <c r="B124" s="483">
        <v>100</v>
      </c>
      <c r="C124" s="364" t="s">
        <v>454</v>
      </c>
    </row>
    <row r="125" spans="1:3" x14ac:dyDescent="0.25">
      <c r="A125" s="440" t="s">
        <v>819</v>
      </c>
      <c r="B125" s="462">
        <f>((15*((B119*1000)+B121*1000))/(2*PI()*B119*100*B121*1000*Fsw))*(10^9)</f>
        <v>17.905627435531134</v>
      </c>
      <c r="C125" s="345" t="s">
        <v>454</v>
      </c>
    </row>
    <row r="126" spans="1:3" x14ac:dyDescent="0.25">
      <c r="A126" s="440" t="s">
        <v>820</v>
      </c>
      <c r="B126" s="482">
        <v>17</v>
      </c>
      <c r="C126" s="345" t="s">
        <v>454</v>
      </c>
    </row>
    <row r="127" spans="1:3" x14ac:dyDescent="0.25">
      <c r="A127" s="440" t="s">
        <v>821</v>
      </c>
      <c r="B127" s="451">
        <f>(((VinMin)*'Fly-BB_Calc'!B10)/((50*10^-3)*(B126*10^-9)))/1000</f>
        <v>17.647058823529413</v>
      </c>
      <c r="C127" s="345" t="s">
        <v>483</v>
      </c>
    </row>
    <row r="128" spans="1:3" x14ac:dyDescent="0.25">
      <c r="A128" s="440" t="s">
        <v>822</v>
      </c>
      <c r="B128" s="482">
        <v>17</v>
      </c>
      <c r="C128" s="345" t="s">
        <v>747</v>
      </c>
    </row>
    <row r="129" spans="1:3" ht="15.75" thickBot="1" x14ac:dyDescent="0.3">
      <c r="A129" s="442" t="s">
        <v>823</v>
      </c>
      <c r="B129" s="484">
        <f>(((VinMin)*'Fly-BB_Calc'!B10)/((B128*10^3)*(B126*10^-9)))*1000</f>
        <v>51.903114186851212</v>
      </c>
      <c r="C129" s="352" t="s">
        <v>288</v>
      </c>
    </row>
  </sheetData>
  <sheetProtection password="E1A4" sheet="1" objects="1" scenarios="1"/>
  <mergeCells count="11">
    <mergeCell ref="A1:XFD2"/>
    <mergeCell ref="A114:C115"/>
    <mergeCell ref="M17:R17"/>
    <mergeCell ref="A22:C22"/>
    <mergeCell ref="A27:C27"/>
    <mergeCell ref="A90:C90"/>
    <mergeCell ref="G5:I5"/>
    <mergeCell ref="A32:B32"/>
    <mergeCell ref="G14:H14"/>
    <mergeCell ref="A14:F14"/>
    <mergeCell ref="A81:C81"/>
  </mergeCells>
  <conditionalFormatting sqref="B33:B36">
    <cfRule type="cellIs" dxfId="11" priority="1" operator="equal">
      <formula>1</formula>
    </cfRule>
    <cfRule type="cellIs" dxfId="10" priority="2" operator="equal">
      <formula>0</formula>
    </cfRule>
  </conditionalFormatting>
  <dataValidations count="1">
    <dataValidation type="list" showInputMessage="1" showErrorMessage="1" sqref="B37">
      <formula1>Fly_Buck_Parts</formula1>
    </dataValidation>
  </dataValidations>
  <hyperlinks>
    <hyperlink ref="N6" r:id="rId1"/>
  </hyperlinks>
  <pageMargins left="0.7" right="0.7" top="0.75" bottom="0.75" header="0.3" footer="0.3"/>
  <drawing r:id="rId2"/>
  <legacyDrawing r:id="rId3"/>
  <oleObjects>
    <mc:AlternateContent xmlns:mc="http://schemas.openxmlformats.org/markup-compatibility/2006">
      <mc:Choice Requires="x14">
        <oleObject progId="Visio.Drawing.11" shapeId="32772" r:id="rId4">
          <objectPr defaultSize="0" autoPict="0" r:id="rId5">
            <anchor moveWithCells="1">
              <from>
                <xdr:col>0</xdr:col>
                <xdr:colOff>0</xdr:colOff>
                <xdr:row>2</xdr:row>
                <xdr:rowOff>0</xdr:rowOff>
              </from>
              <to>
                <xdr:col>4</xdr:col>
                <xdr:colOff>485775</xdr:colOff>
                <xdr:row>12</xdr:row>
                <xdr:rowOff>28575</xdr:rowOff>
              </to>
            </anchor>
          </objectPr>
        </oleObject>
      </mc:Choice>
      <mc:Fallback>
        <oleObject progId="Visio.Drawing.11" shapeId="32772" r:id="rId4"/>
      </mc:Fallback>
    </mc:AlternateContent>
    <mc:AlternateContent xmlns:mc="http://schemas.openxmlformats.org/markup-compatibility/2006">
      <mc:Choice Requires="x14">
        <oleObject progId="Visio.Drawing.11" shapeId="32773" r:id="rId6">
          <objectPr defaultSize="0" r:id="rId7">
            <anchor moveWithCells="1">
              <from>
                <xdr:col>3</xdr:col>
                <xdr:colOff>400050</xdr:colOff>
                <xdr:row>116</xdr:row>
                <xdr:rowOff>190500</xdr:rowOff>
              </from>
              <to>
                <xdr:col>8</xdr:col>
                <xdr:colOff>219075</xdr:colOff>
                <xdr:row>126</xdr:row>
                <xdr:rowOff>95250</xdr:rowOff>
              </to>
            </anchor>
          </objectPr>
        </oleObject>
      </mc:Choice>
      <mc:Fallback>
        <oleObject progId="Visio.Drawing.11" shapeId="32773"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69"/>
  <sheetViews>
    <sheetView zoomScale="85" zoomScaleNormal="85" workbookViewId="0">
      <selection activeCell="R37" sqref="R37"/>
    </sheetView>
  </sheetViews>
  <sheetFormatPr defaultRowHeight="15" x14ac:dyDescent="0.25"/>
  <cols>
    <col min="1" max="1" width="26.42578125" style="340" customWidth="1"/>
    <col min="2" max="2" width="12.5703125" style="340" bestFit="1" customWidth="1"/>
    <col min="3" max="3" width="4.28515625" style="340" customWidth="1"/>
    <col min="4" max="34" width="9.140625" style="340"/>
    <col min="35" max="35" width="32.140625" style="340" bestFit="1" customWidth="1"/>
    <col min="36" max="16384" width="9.140625" style="340"/>
  </cols>
  <sheetData>
    <row r="1" spans="1:12" s="428" customFormat="1" ht="15" customHeight="1" x14ac:dyDescent="0.25">
      <c r="A1" s="428" t="s">
        <v>828</v>
      </c>
    </row>
    <row r="2" spans="1:12" s="428" customFormat="1" x14ac:dyDescent="0.25"/>
    <row r="4" spans="1:12" ht="19.5" thickBot="1" x14ac:dyDescent="0.35">
      <c r="F4" s="346" t="s">
        <v>904</v>
      </c>
      <c r="G4" s="346"/>
      <c r="H4" s="346"/>
    </row>
    <row r="5" spans="1:12" ht="15.75" thickBot="1" x14ac:dyDescent="0.3">
      <c r="F5" s="348"/>
      <c r="G5" s="340" t="s">
        <v>903</v>
      </c>
    </row>
    <row r="6" spans="1:12" ht="15.75" thickBot="1" x14ac:dyDescent="0.3">
      <c r="F6" s="349"/>
      <c r="G6" s="340" t="s">
        <v>905</v>
      </c>
    </row>
    <row r="7" spans="1:12" ht="15.75" thickBot="1" x14ac:dyDescent="0.3">
      <c r="F7" s="350"/>
      <c r="G7" s="340" t="s">
        <v>906</v>
      </c>
    </row>
    <row r="14" spans="1:12" ht="15.75" thickBot="1" x14ac:dyDescent="0.3">
      <c r="A14" s="375" t="s">
        <v>22</v>
      </c>
      <c r="B14" s="379"/>
      <c r="C14" s="379"/>
      <c r="D14" s="379"/>
      <c r="E14" s="379"/>
      <c r="F14" s="379"/>
      <c r="G14" s="379"/>
      <c r="H14" s="379"/>
    </row>
    <row r="15" spans="1:12" ht="15.75" thickBot="1" x14ac:dyDescent="0.3">
      <c r="A15" s="433"/>
      <c r="B15" s="435" t="s">
        <v>702</v>
      </c>
      <c r="C15" s="435"/>
      <c r="D15" s="435" t="s">
        <v>26</v>
      </c>
      <c r="E15" s="435"/>
      <c r="F15" s="486" t="s">
        <v>797</v>
      </c>
      <c r="G15" s="487"/>
    </row>
    <row r="16" spans="1:12" x14ac:dyDescent="0.25">
      <c r="A16" s="437" t="s">
        <v>14</v>
      </c>
      <c r="B16" s="438">
        <f>IF(Ns1_FBack_Calc&lt;&gt;0,Ns1_FBack_Calc/Np,0)</f>
        <v>0.58888888888888891</v>
      </c>
      <c r="C16" s="439"/>
      <c r="D16" s="299">
        <v>0.58899999999999997</v>
      </c>
      <c r="E16" s="439"/>
      <c r="F16" s="299">
        <v>10</v>
      </c>
      <c r="G16" s="364" t="s">
        <v>431</v>
      </c>
      <c r="L16" s="335"/>
    </row>
    <row r="17" spans="1:7" x14ac:dyDescent="0.25">
      <c r="A17" s="440" t="s">
        <v>15</v>
      </c>
      <c r="B17" s="441">
        <f>IF(Ns2_FBack_Calc&lt;&gt;0,Ns2_FBack_Calc/Np,0)</f>
        <v>0.58899999999999997</v>
      </c>
      <c r="C17" s="365"/>
      <c r="D17" s="294">
        <v>0.58899999999999997</v>
      </c>
      <c r="E17" s="365"/>
      <c r="F17" s="294">
        <v>10</v>
      </c>
      <c r="G17" s="345" t="s">
        <v>431</v>
      </c>
    </row>
    <row r="18" spans="1:7" x14ac:dyDescent="0.25">
      <c r="A18" s="440" t="s">
        <v>16</v>
      </c>
      <c r="B18" s="441">
        <f>IF(Ns3_FBack_Calc&lt;&gt;0,Ns3_FBack_Calc/Np,0)</f>
        <v>0</v>
      </c>
      <c r="C18" s="365"/>
      <c r="D18" s="294">
        <v>0</v>
      </c>
      <c r="E18" s="365"/>
      <c r="F18" s="294">
        <v>0</v>
      </c>
      <c r="G18" s="345" t="s">
        <v>431</v>
      </c>
    </row>
    <row r="19" spans="1:7" x14ac:dyDescent="0.25">
      <c r="A19" s="440" t="s">
        <v>17</v>
      </c>
      <c r="B19" s="441">
        <f>IF(Ns4_FBack_Calc&lt;&gt;0,Ns4_FBack_Calc/Np,0)</f>
        <v>0</v>
      </c>
      <c r="C19" s="365"/>
      <c r="D19" s="294">
        <v>0</v>
      </c>
      <c r="E19" s="365"/>
      <c r="F19" s="294">
        <v>0</v>
      </c>
      <c r="G19" s="345" t="s">
        <v>431</v>
      </c>
    </row>
    <row r="20" spans="1:7" x14ac:dyDescent="0.25">
      <c r="A20" s="440" t="s">
        <v>18</v>
      </c>
      <c r="B20" s="441">
        <f>IF(Ns5_FBack_Calc&lt;&gt;0,Ns5_FBack_Calc/Np,0)</f>
        <v>0</v>
      </c>
      <c r="C20" s="365"/>
      <c r="D20" s="294">
        <v>0</v>
      </c>
      <c r="E20" s="365"/>
      <c r="F20" s="294">
        <v>0</v>
      </c>
      <c r="G20" s="345" t="s">
        <v>431</v>
      </c>
    </row>
    <row r="21" spans="1:7" x14ac:dyDescent="0.25">
      <c r="A21" s="440" t="s">
        <v>19</v>
      </c>
      <c r="B21" s="441">
        <f>IF(Ns6_FBack_Calc&lt;&gt;0,Ns6_FBack_Calc/Np,0)</f>
        <v>0</v>
      </c>
      <c r="C21" s="365"/>
      <c r="D21" s="294">
        <v>0</v>
      </c>
      <c r="E21" s="365"/>
      <c r="F21" s="294">
        <v>0</v>
      </c>
      <c r="G21" s="345" t="s">
        <v>431</v>
      </c>
    </row>
    <row r="22" spans="1:7" ht="15.75" thickBot="1" x14ac:dyDescent="0.3">
      <c r="A22" s="442" t="s">
        <v>407</v>
      </c>
      <c r="B22" s="443">
        <f>IF(NsAux_FBack_Calc&lt;&gt;0,NsAux_FBack_Calc/Np,0)</f>
        <v>1.1446603773584907</v>
      </c>
      <c r="C22" s="444"/>
      <c r="D22" s="298">
        <v>1.1890000000000001</v>
      </c>
      <c r="E22" s="444"/>
      <c r="F22" s="298">
        <v>10</v>
      </c>
      <c r="G22" s="352" t="s">
        <v>431</v>
      </c>
    </row>
    <row r="23" spans="1:7" ht="15.75" thickBot="1" x14ac:dyDescent="0.3">
      <c r="B23" s="451"/>
      <c r="D23" s="365"/>
      <c r="F23" s="365"/>
    </row>
    <row r="24" spans="1:7" ht="15.75" thickBot="1" x14ac:dyDescent="0.3">
      <c r="A24" s="488" t="s">
        <v>37</v>
      </c>
      <c r="B24" s="486"/>
      <c r="C24" s="487"/>
    </row>
    <row r="25" spans="1:7" x14ac:dyDescent="0.25">
      <c r="A25" s="440" t="s">
        <v>67</v>
      </c>
      <c r="B25" s="479">
        <f>Lcalc_Flyback_VinNom*(10^6)</f>
        <v>81.615053179194831</v>
      </c>
      <c r="C25" s="345" t="s">
        <v>65</v>
      </c>
    </row>
    <row r="26" spans="1:7" x14ac:dyDescent="0.25">
      <c r="A26" s="440" t="s">
        <v>66</v>
      </c>
      <c r="B26" s="294">
        <v>81</v>
      </c>
      <c r="C26" s="345" t="s">
        <v>65</v>
      </c>
    </row>
    <row r="27" spans="1:7" x14ac:dyDescent="0.25">
      <c r="A27" s="440" t="s">
        <v>456</v>
      </c>
      <c r="B27" s="294">
        <v>70</v>
      </c>
      <c r="C27" s="345" t="s">
        <v>457</v>
      </c>
    </row>
    <row r="28" spans="1:7" ht="15.75" thickBot="1" x14ac:dyDescent="0.3">
      <c r="A28" s="442" t="s">
        <v>723</v>
      </c>
      <c r="B28" s="298">
        <v>1</v>
      </c>
      <c r="C28" s="352" t="s">
        <v>65</v>
      </c>
    </row>
    <row r="29" spans="1:7" ht="15.75" thickBot="1" x14ac:dyDescent="0.3">
      <c r="A29" s="488" t="s">
        <v>703</v>
      </c>
      <c r="B29" s="486"/>
      <c r="C29" s="487"/>
    </row>
    <row r="30" spans="1:7" x14ac:dyDescent="0.25">
      <c r="A30" s="440" t="s">
        <v>100</v>
      </c>
      <c r="B30" s="479">
        <f>ILpeak_Max_FlyB_CCM</f>
        <v>1.5742051021517358</v>
      </c>
      <c r="C30" s="480" t="s">
        <v>6</v>
      </c>
    </row>
    <row r="31" spans="1:7" x14ac:dyDescent="0.25">
      <c r="A31" s="440" t="s">
        <v>101</v>
      </c>
      <c r="B31" s="489">
        <f>ILripple_Max_FlyB_CCM</f>
        <v>0.31184129043456266</v>
      </c>
      <c r="C31" s="449" t="s">
        <v>6</v>
      </c>
    </row>
    <row r="32" spans="1:7" ht="15.75" thickBot="1" x14ac:dyDescent="0.3">
      <c r="A32" s="442" t="s">
        <v>102</v>
      </c>
      <c r="B32" s="490">
        <f>ILrms_Max_FlyB_CCM</f>
        <v>1.0482965760689618</v>
      </c>
      <c r="C32" s="450" t="s">
        <v>6</v>
      </c>
    </row>
    <row r="33" spans="1:4" ht="15.75" thickBot="1" x14ac:dyDescent="0.3"/>
    <row r="34" spans="1:4" ht="15.75" thickBot="1" x14ac:dyDescent="0.3">
      <c r="A34" s="472" t="s">
        <v>625</v>
      </c>
      <c r="B34" s="473"/>
      <c r="C34" s="474"/>
      <c r="D34" s="475"/>
    </row>
    <row r="35" spans="1:4" x14ac:dyDescent="0.25">
      <c r="A35" s="440" t="s">
        <v>285</v>
      </c>
      <c r="B35" s="491">
        <f>Flyback_CCM_Calc!I24</f>
        <v>0</v>
      </c>
      <c r="C35" s="492"/>
      <c r="D35" s="365"/>
    </row>
    <row r="36" spans="1:4" x14ac:dyDescent="0.25">
      <c r="A36" s="440" t="s">
        <v>433</v>
      </c>
      <c r="B36" s="493">
        <f>Flyback_CCM_Calc!I25</f>
        <v>0</v>
      </c>
      <c r="C36" s="414"/>
      <c r="D36" s="365"/>
    </row>
    <row r="37" spans="1:4" x14ac:dyDescent="0.25">
      <c r="A37" s="440" t="s">
        <v>434</v>
      </c>
      <c r="B37" s="493">
        <f>Flyback_CCM_Calc!I26</f>
        <v>1</v>
      </c>
      <c r="C37" s="414"/>
      <c r="D37" s="365"/>
    </row>
    <row r="38" spans="1:4" x14ac:dyDescent="0.25">
      <c r="A38" s="440" t="s">
        <v>435</v>
      </c>
      <c r="B38" s="493">
        <f>Flyback_CCM_Calc!I27</f>
        <v>0</v>
      </c>
      <c r="C38" s="414"/>
      <c r="D38" s="365"/>
    </row>
    <row r="39" spans="1:4" ht="15.75" thickBot="1" x14ac:dyDescent="0.3">
      <c r="A39" s="442" t="s">
        <v>527</v>
      </c>
      <c r="B39" s="494" t="s">
        <v>285</v>
      </c>
      <c r="C39" s="418"/>
      <c r="D39" s="365"/>
    </row>
    <row r="42" spans="1:4" x14ac:dyDescent="0.25">
      <c r="A42" s="365"/>
      <c r="B42" s="462"/>
      <c r="C42" s="365"/>
    </row>
    <row r="43" spans="1:4" x14ac:dyDescent="0.25">
      <c r="A43" s="365"/>
      <c r="B43" s="462"/>
      <c r="C43" s="365"/>
    </row>
    <row r="44" spans="1:4" x14ac:dyDescent="0.25">
      <c r="A44" s="365"/>
      <c r="B44" s="462"/>
      <c r="C44" s="365"/>
    </row>
    <row r="45" spans="1:4" x14ac:dyDescent="0.25">
      <c r="A45" s="365"/>
      <c r="B45" s="462"/>
      <c r="C45" s="365"/>
    </row>
    <row r="46" spans="1:4" x14ac:dyDescent="0.25">
      <c r="A46" s="365"/>
      <c r="B46" s="462"/>
      <c r="C46" s="365"/>
    </row>
    <row r="47" spans="1:4" x14ac:dyDescent="0.25">
      <c r="A47" s="365"/>
      <c r="B47" s="462"/>
      <c r="C47" s="365"/>
    </row>
    <row r="48" spans="1:4" x14ac:dyDescent="0.25">
      <c r="A48" s="365"/>
      <c r="B48" s="462"/>
      <c r="C48" s="365"/>
    </row>
    <row r="49" spans="1:3" x14ac:dyDescent="0.25">
      <c r="A49" s="365"/>
      <c r="B49" s="462"/>
      <c r="C49" s="365"/>
    </row>
    <row r="50" spans="1:3" x14ac:dyDescent="0.25">
      <c r="A50" s="365"/>
      <c r="B50" s="462"/>
      <c r="C50" s="365"/>
    </row>
    <row r="51" spans="1:3" x14ac:dyDescent="0.25">
      <c r="A51" s="365"/>
      <c r="B51" s="462"/>
      <c r="C51" s="365"/>
    </row>
    <row r="52" spans="1:3" x14ac:dyDescent="0.25">
      <c r="A52" s="365"/>
      <c r="B52" s="462"/>
      <c r="C52" s="365"/>
    </row>
    <row r="53" spans="1:3" x14ac:dyDescent="0.25">
      <c r="A53" s="365"/>
      <c r="B53" s="462"/>
      <c r="C53" s="365"/>
    </row>
    <row r="54" spans="1:3" x14ac:dyDescent="0.25">
      <c r="A54" s="365"/>
      <c r="B54" s="462"/>
      <c r="C54" s="365"/>
    </row>
    <row r="55" spans="1:3" x14ac:dyDescent="0.25">
      <c r="A55" s="365"/>
      <c r="B55" s="462"/>
      <c r="C55" s="365"/>
    </row>
    <row r="56" spans="1:3" x14ac:dyDescent="0.25">
      <c r="A56" s="365"/>
      <c r="B56" s="462"/>
      <c r="C56" s="365"/>
    </row>
    <row r="57" spans="1:3" x14ac:dyDescent="0.25">
      <c r="A57" s="365"/>
      <c r="B57" s="462"/>
      <c r="C57" s="365"/>
    </row>
    <row r="58" spans="1:3" x14ac:dyDescent="0.25">
      <c r="A58" s="365"/>
      <c r="B58" s="462"/>
      <c r="C58" s="365"/>
    </row>
    <row r="59" spans="1:3" x14ac:dyDescent="0.25">
      <c r="A59" s="365"/>
      <c r="B59" s="462"/>
      <c r="C59" s="365"/>
    </row>
    <row r="60" spans="1:3" x14ac:dyDescent="0.25">
      <c r="A60" s="365"/>
      <c r="B60" s="462"/>
      <c r="C60" s="365"/>
    </row>
    <row r="61" spans="1:3" x14ac:dyDescent="0.25">
      <c r="A61" s="365"/>
      <c r="B61" s="462"/>
      <c r="C61" s="365"/>
    </row>
    <row r="62" spans="1:3" x14ac:dyDescent="0.25">
      <c r="A62" s="365"/>
      <c r="B62" s="462"/>
      <c r="C62" s="365"/>
    </row>
    <row r="63" spans="1:3" x14ac:dyDescent="0.25">
      <c r="A63" s="365"/>
      <c r="B63" s="462"/>
      <c r="C63" s="365"/>
    </row>
    <row r="64" spans="1:3" ht="15.75" thickBot="1" x14ac:dyDescent="0.3">
      <c r="A64" s="365"/>
      <c r="B64" s="462"/>
      <c r="C64" s="365"/>
    </row>
    <row r="65" spans="1:3" ht="15.75" thickBot="1" x14ac:dyDescent="0.3">
      <c r="A65" s="472" t="s">
        <v>841</v>
      </c>
      <c r="B65" s="473"/>
      <c r="C65" s="474"/>
    </row>
    <row r="66" spans="1:3" x14ac:dyDescent="0.25">
      <c r="A66" s="437" t="s">
        <v>796</v>
      </c>
      <c r="B66" s="514">
        <v>4</v>
      </c>
      <c r="C66" s="364" t="s">
        <v>6</v>
      </c>
    </row>
    <row r="67" spans="1:3" x14ac:dyDescent="0.25">
      <c r="A67" s="440" t="s">
        <v>733</v>
      </c>
      <c r="B67" s="365">
        <f>IF(Flyback_CCM_Calc!B74&lt;&gt;8,(Flyback_CCM_Calc!B90/'Flyback CCM'!B66)*1000,50)</f>
        <v>125</v>
      </c>
      <c r="C67" s="345" t="s">
        <v>431</v>
      </c>
    </row>
    <row r="68" spans="1:3" x14ac:dyDescent="0.25">
      <c r="A68" s="440" t="s">
        <v>730</v>
      </c>
      <c r="B68" s="515">
        <v>120</v>
      </c>
      <c r="C68" s="345" t="s">
        <v>431</v>
      </c>
    </row>
    <row r="69" spans="1:3" ht="15.75" thickBot="1" x14ac:dyDescent="0.3">
      <c r="A69" s="442" t="s">
        <v>734</v>
      </c>
      <c r="B69" s="495">
        <f>IF(Flyback_CCM_Calc!B74&lt;&gt;8,(Flyback_CCM_Calc!B90)/(B68/1000),0.8)</f>
        <v>4.166666666666667</v>
      </c>
      <c r="C69" s="352" t="s">
        <v>6</v>
      </c>
    </row>
    <row r="70" spans="1:3" ht="15.75" thickBot="1" x14ac:dyDescent="0.3">
      <c r="A70" s="365"/>
      <c r="B70" s="462"/>
      <c r="C70" s="365"/>
    </row>
    <row r="71" spans="1:3" ht="15.75" thickBot="1" x14ac:dyDescent="0.3">
      <c r="A71" s="472" t="s">
        <v>634</v>
      </c>
      <c r="B71" s="473"/>
      <c r="C71" s="474"/>
    </row>
    <row r="72" spans="1:3" x14ac:dyDescent="0.25">
      <c r="A72" s="496" t="s">
        <v>635</v>
      </c>
      <c r="B72" s="293">
        <v>100</v>
      </c>
      <c r="C72" s="480" t="s">
        <v>5</v>
      </c>
    </row>
    <row r="73" spans="1:3" x14ac:dyDescent="0.25">
      <c r="A73" s="497" t="s">
        <v>636</v>
      </c>
      <c r="B73" s="294">
        <v>5</v>
      </c>
      <c r="C73" s="498" t="s">
        <v>431</v>
      </c>
    </row>
    <row r="74" spans="1:3" x14ac:dyDescent="0.25">
      <c r="A74" s="497" t="s">
        <v>637</v>
      </c>
      <c r="B74" s="294">
        <v>100</v>
      </c>
      <c r="C74" s="449" t="s">
        <v>638</v>
      </c>
    </row>
    <row r="75" spans="1:3" ht="15.75" thickBot="1" x14ac:dyDescent="0.3">
      <c r="A75" s="499" t="s">
        <v>724</v>
      </c>
      <c r="B75" s="298">
        <v>0.5</v>
      </c>
      <c r="C75" s="450" t="s">
        <v>454</v>
      </c>
    </row>
    <row r="76" spans="1:3" ht="15.75" thickBot="1" x14ac:dyDescent="0.3">
      <c r="A76" s="365"/>
      <c r="B76" s="462"/>
      <c r="C76" s="365"/>
    </row>
    <row r="77" spans="1:3" ht="15.75" thickBot="1" x14ac:dyDescent="0.3">
      <c r="A77" s="472" t="s">
        <v>462</v>
      </c>
      <c r="B77" s="473"/>
      <c r="C77" s="474"/>
    </row>
    <row r="78" spans="1:3" x14ac:dyDescent="0.25">
      <c r="A78" s="496" t="s">
        <v>725</v>
      </c>
      <c r="B78" s="293">
        <v>100</v>
      </c>
      <c r="C78" s="480" t="s">
        <v>5</v>
      </c>
    </row>
    <row r="79" spans="1:3" x14ac:dyDescent="0.25">
      <c r="A79" s="497" t="s">
        <v>477</v>
      </c>
      <c r="B79" s="376">
        <f>Vclamp_Flyback_CCM-VinMin</f>
        <v>91</v>
      </c>
      <c r="C79" s="449" t="s">
        <v>5</v>
      </c>
    </row>
    <row r="80" spans="1:3" x14ac:dyDescent="0.25">
      <c r="A80" s="497" t="s">
        <v>726</v>
      </c>
      <c r="B80" s="294">
        <v>50</v>
      </c>
      <c r="C80" s="449" t="s">
        <v>288</v>
      </c>
    </row>
    <row r="81" spans="1:37" x14ac:dyDescent="0.25">
      <c r="A81" s="497" t="s">
        <v>727</v>
      </c>
      <c r="B81" s="489">
        <f>Flyback_CCM_Calc!B67/1000</f>
        <v>20.199449804937846</v>
      </c>
      <c r="C81" s="449" t="s">
        <v>483</v>
      </c>
    </row>
    <row r="82" spans="1:37" x14ac:dyDescent="0.25">
      <c r="A82" s="497" t="s">
        <v>728</v>
      </c>
      <c r="B82" s="294">
        <v>5.2</v>
      </c>
      <c r="C82" s="449" t="s">
        <v>483</v>
      </c>
    </row>
    <row r="83" spans="1:37" x14ac:dyDescent="0.25">
      <c r="A83" s="497" t="s">
        <v>729</v>
      </c>
      <c r="B83" s="441">
        <f>Flyback_CCM_Calc!B70*(10^6)</f>
        <v>1.1666666666666665</v>
      </c>
      <c r="C83" s="449" t="s">
        <v>393</v>
      </c>
    </row>
    <row r="84" spans="1:37" x14ac:dyDescent="0.25">
      <c r="A84" s="497" t="s">
        <v>430</v>
      </c>
      <c r="B84" s="516">
        <v>1.3</v>
      </c>
      <c r="C84" s="449" t="s">
        <v>393</v>
      </c>
    </row>
    <row r="85" spans="1:37" ht="15.75" thickBot="1" x14ac:dyDescent="0.3">
      <c r="A85" s="499" t="s">
        <v>485</v>
      </c>
      <c r="B85" s="490">
        <f>Flyback_CCM_Calc!B72*1000</f>
        <v>44.871794871794869</v>
      </c>
      <c r="C85" s="450" t="s">
        <v>288</v>
      </c>
    </row>
    <row r="88" spans="1:37" x14ac:dyDescent="0.25">
      <c r="AI88" s="379"/>
      <c r="AJ88" s="379"/>
      <c r="AK88" s="379"/>
    </row>
    <row r="89" spans="1:37" x14ac:dyDescent="0.25">
      <c r="AI89" s="379"/>
      <c r="AJ89" s="379"/>
      <c r="AK89" s="379"/>
    </row>
    <row r="90" spans="1:37" x14ac:dyDescent="0.25">
      <c r="AI90" s="379"/>
      <c r="AJ90" s="379"/>
      <c r="AK90" s="379"/>
    </row>
    <row r="91" spans="1:37" x14ac:dyDescent="0.25">
      <c r="AI91" s="379"/>
      <c r="AJ91" s="379"/>
      <c r="AK91" s="379"/>
    </row>
    <row r="92" spans="1:37" x14ac:dyDescent="0.25">
      <c r="AI92" s="379"/>
      <c r="AJ92" s="379"/>
      <c r="AK92" s="379"/>
    </row>
    <row r="93" spans="1:37" x14ac:dyDescent="0.25">
      <c r="AI93" s="379"/>
      <c r="AJ93" s="379"/>
      <c r="AK93" s="379"/>
    </row>
    <row r="94" spans="1:37" x14ac:dyDescent="0.25">
      <c r="AI94" s="379"/>
      <c r="AJ94" s="379"/>
      <c r="AK94" s="379"/>
    </row>
    <row r="95" spans="1:37" x14ac:dyDescent="0.25">
      <c r="AI95" s="379"/>
      <c r="AJ95" s="379"/>
      <c r="AK95" s="379"/>
    </row>
    <row r="96" spans="1:37" x14ac:dyDescent="0.25">
      <c r="AI96" s="379"/>
      <c r="AJ96" s="379"/>
      <c r="AK96" s="379"/>
    </row>
    <row r="97" spans="9:37" x14ac:dyDescent="0.25">
      <c r="I97" s="335"/>
      <c r="X97" s="365"/>
      <c r="Y97" s="365"/>
      <c r="Z97" s="365"/>
      <c r="AI97" s="379"/>
      <c r="AJ97" s="379"/>
      <c r="AK97" s="379"/>
    </row>
    <row r="98" spans="9:37" x14ac:dyDescent="0.25">
      <c r="X98" s="365"/>
      <c r="Y98" s="365"/>
      <c r="Z98" s="365"/>
      <c r="AI98" s="379"/>
      <c r="AJ98" s="379"/>
      <c r="AK98" s="379"/>
    </row>
    <row r="99" spans="9:37" x14ac:dyDescent="0.25">
      <c r="X99" s="379"/>
      <c r="Y99" s="379"/>
      <c r="Z99" s="365"/>
      <c r="AI99" s="379"/>
      <c r="AJ99" s="379"/>
      <c r="AK99" s="379"/>
    </row>
    <row r="100" spans="9:37" x14ac:dyDescent="0.25">
      <c r="X100" s="365"/>
      <c r="Y100" s="365"/>
      <c r="Z100" s="365"/>
      <c r="AI100" s="379"/>
      <c r="AJ100" s="379"/>
      <c r="AK100" s="379"/>
    </row>
    <row r="101" spans="9:37" x14ac:dyDescent="0.25">
      <c r="X101" s="365"/>
      <c r="Y101" s="365"/>
      <c r="Z101" s="365"/>
      <c r="AI101" s="379"/>
      <c r="AJ101" s="379"/>
      <c r="AK101" s="379"/>
    </row>
    <row r="102" spans="9:37" x14ac:dyDescent="0.25">
      <c r="X102" s="365"/>
      <c r="Y102" s="365"/>
      <c r="Z102" s="365"/>
      <c r="AI102" s="379"/>
      <c r="AJ102" s="379"/>
      <c r="AK102" s="379"/>
    </row>
    <row r="103" spans="9:37" x14ac:dyDescent="0.25">
      <c r="X103" s="365"/>
      <c r="Y103" s="365"/>
      <c r="Z103" s="365"/>
      <c r="AI103" s="379"/>
      <c r="AJ103" s="379"/>
      <c r="AK103" s="379"/>
    </row>
    <row r="104" spans="9:37" x14ac:dyDescent="0.25">
      <c r="X104" s="365"/>
      <c r="Y104" s="365"/>
      <c r="Z104" s="365"/>
      <c r="AI104" s="379"/>
      <c r="AJ104" s="379"/>
      <c r="AK104" s="379"/>
    </row>
    <row r="105" spans="9:37" x14ac:dyDescent="0.25">
      <c r="X105" s="365"/>
      <c r="Y105" s="365"/>
      <c r="Z105" s="365"/>
      <c r="AI105" s="379"/>
      <c r="AJ105" s="379"/>
      <c r="AK105" s="379"/>
    </row>
    <row r="106" spans="9:37" x14ac:dyDescent="0.25">
      <c r="X106" s="365"/>
      <c r="Y106" s="365"/>
      <c r="Z106" s="365"/>
      <c r="AI106" s="379"/>
      <c r="AJ106" s="379"/>
      <c r="AK106" s="379"/>
    </row>
    <row r="107" spans="9:37" x14ac:dyDescent="0.25">
      <c r="X107" s="365"/>
      <c r="Y107" s="365"/>
      <c r="Z107" s="365"/>
      <c r="AI107" s="379"/>
      <c r="AJ107" s="379"/>
      <c r="AK107" s="379"/>
    </row>
    <row r="108" spans="9:37" x14ac:dyDescent="0.25">
      <c r="X108" s="365"/>
      <c r="Y108" s="365"/>
      <c r="Z108" s="365"/>
      <c r="AI108" s="379"/>
      <c r="AJ108" s="379"/>
      <c r="AK108" s="379"/>
    </row>
    <row r="109" spans="9:37" x14ac:dyDescent="0.25">
      <c r="X109" s="365"/>
      <c r="Y109" s="365"/>
      <c r="Z109" s="365"/>
      <c r="AI109" s="379"/>
      <c r="AJ109" s="379"/>
      <c r="AK109" s="379"/>
    </row>
    <row r="110" spans="9:37" x14ac:dyDescent="0.25">
      <c r="X110" s="365"/>
      <c r="Y110" s="365"/>
      <c r="Z110" s="365"/>
      <c r="AI110" s="379"/>
      <c r="AJ110" s="379"/>
      <c r="AK110" s="379"/>
    </row>
    <row r="111" spans="9:37" x14ac:dyDescent="0.25">
      <c r="X111" s="365"/>
      <c r="Y111" s="365"/>
      <c r="Z111" s="365"/>
      <c r="AI111" s="379"/>
      <c r="AJ111" s="379"/>
      <c r="AK111" s="379"/>
    </row>
    <row r="112" spans="9:37" x14ac:dyDescent="0.25">
      <c r="X112" s="365"/>
      <c r="Y112" s="365"/>
      <c r="Z112" s="365"/>
      <c r="AI112" s="379"/>
      <c r="AJ112" s="379"/>
      <c r="AK112" s="379"/>
    </row>
    <row r="113" spans="1:37" x14ac:dyDescent="0.25">
      <c r="X113" s="365"/>
      <c r="Y113" s="365"/>
      <c r="Z113" s="365"/>
      <c r="AI113" s="379"/>
      <c r="AJ113" s="379"/>
      <c r="AK113" s="379"/>
    </row>
    <row r="114" spans="1:37" x14ac:dyDescent="0.25">
      <c r="X114" s="365"/>
      <c r="Y114" s="365"/>
      <c r="Z114" s="365"/>
      <c r="AI114" s="365"/>
      <c r="AJ114" s="365"/>
      <c r="AK114" s="365"/>
    </row>
    <row r="115" spans="1:37" x14ac:dyDescent="0.25">
      <c r="X115" s="365"/>
      <c r="Y115" s="365"/>
      <c r="Z115" s="365"/>
      <c r="AI115" s="365"/>
      <c r="AJ115" s="365"/>
      <c r="AK115" s="365"/>
    </row>
    <row r="116" spans="1:37" x14ac:dyDescent="0.25">
      <c r="X116" s="365"/>
      <c r="Y116" s="365"/>
      <c r="Z116" s="365"/>
      <c r="AI116" s="365"/>
      <c r="AJ116" s="365"/>
      <c r="AK116" s="365"/>
    </row>
    <row r="117" spans="1:37" x14ac:dyDescent="0.25">
      <c r="X117" s="365"/>
      <c r="Y117" s="365"/>
      <c r="Z117" s="365"/>
      <c r="AI117" s="365"/>
      <c r="AJ117" s="365"/>
      <c r="AK117" s="365"/>
    </row>
    <row r="118" spans="1:37" x14ac:dyDescent="0.25">
      <c r="P118" s="335"/>
      <c r="X118" s="365"/>
      <c r="Y118" s="365"/>
      <c r="Z118" s="365"/>
      <c r="AI118" s="365"/>
      <c r="AJ118" s="365"/>
      <c r="AK118" s="365"/>
    </row>
    <row r="119" spans="1:37" x14ac:dyDescent="0.25">
      <c r="X119" s="365"/>
      <c r="Y119" s="365"/>
      <c r="Z119" s="365"/>
      <c r="AI119" s="365"/>
      <c r="AJ119" s="365"/>
      <c r="AK119" s="365"/>
    </row>
    <row r="120" spans="1:37" x14ac:dyDescent="0.25">
      <c r="X120" s="365"/>
      <c r="Y120" s="365"/>
      <c r="Z120" s="365"/>
      <c r="AI120" s="365"/>
      <c r="AJ120" s="365"/>
      <c r="AK120" s="365"/>
    </row>
    <row r="121" spans="1:37" x14ac:dyDescent="0.25">
      <c r="X121" s="365"/>
      <c r="Y121" s="365"/>
      <c r="Z121" s="365"/>
      <c r="AI121" s="365"/>
      <c r="AJ121" s="365"/>
      <c r="AK121" s="365"/>
    </row>
    <row r="122" spans="1:37" x14ac:dyDescent="0.25">
      <c r="X122" s="365"/>
      <c r="Y122" s="365"/>
      <c r="Z122" s="365"/>
      <c r="AI122" s="365"/>
      <c r="AJ122" s="365"/>
      <c r="AK122" s="365"/>
    </row>
    <row r="123" spans="1:37" x14ac:dyDescent="0.25">
      <c r="X123" s="365"/>
      <c r="Y123" s="365"/>
      <c r="Z123" s="365"/>
      <c r="AI123" s="365"/>
      <c r="AJ123" s="365"/>
      <c r="AK123" s="365"/>
    </row>
    <row r="124" spans="1:37" ht="15.75" thickBot="1" x14ac:dyDescent="0.3">
      <c r="X124" s="365"/>
      <c r="Y124" s="365"/>
      <c r="Z124" s="365"/>
      <c r="AI124" s="365"/>
      <c r="AJ124" s="365"/>
      <c r="AK124" s="365"/>
    </row>
    <row r="125" spans="1:37" ht="15.75" thickBot="1" x14ac:dyDescent="0.3">
      <c r="A125" s="472" t="s">
        <v>844</v>
      </c>
      <c r="B125" s="473"/>
      <c r="C125" s="474"/>
      <c r="X125" s="365"/>
      <c r="Y125" s="365"/>
      <c r="Z125" s="365"/>
      <c r="AI125" s="461"/>
      <c r="AJ125" s="461"/>
      <c r="AK125" s="461"/>
    </row>
    <row r="126" spans="1:37" x14ac:dyDescent="0.25">
      <c r="A126" s="440" t="s">
        <v>716</v>
      </c>
      <c r="B126" s="500">
        <f>Flyback_CCM_Calc!B56</f>
        <v>33.271999999999998</v>
      </c>
      <c r="C126" s="345" t="s">
        <v>5</v>
      </c>
      <c r="X126" s="365"/>
      <c r="Y126" s="365"/>
      <c r="Z126" s="365"/>
      <c r="AI126" s="365"/>
      <c r="AJ126" s="365"/>
      <c r="AK126" s="365"/>
    </row>
    <row r="127" spans="1:37" x14ac:dyDescent="0.25">
      <c r="A127" s="440" t="s">
        <v>717</v>
      </c>
      <c r="B127" s="376">
        <f>Flyback_CCM_Calc!B57</f>
        <v>33.271999999999998</v>
      </c>
      <c r="C127" s="345" t="s">
        <v>5</v>
      </c>
      <c r="AI127" s="365"/>
      <c r="AJ127" s="365"/>
      <c r="AK127" s="365"/>
    </row>
    <row r="128" spans="1:37" x14ac:dyDescent="0.25">
      <c r="A128" s="440" t="s">
        <v>718</v>
      </c>
      <c r="B128" s="376">
        <f>Flyback_CCM_Calc!B58</f>
        <v>0</v>
      </c>
      <c r="C128" s="345" t="s">
        <v>5</v>
      </c>
      <c r="AI128" s="365"/>
      <c r="AJ128" s="365"/>
      <c r="AK128" s="365"/>
    </row>
    <row r="129" spans="1:37" x14ac:dyDescent="0.25">
      <c r="A129" s="440" t="s">
        <v>719</v>
      </c>
      <c r="B129" s="376">
        <f>Flyback_CCM_Calc!B59</f>
        <v>0</v>
      </c>
      <c r="C129" s="345" t="s">
        <v>5</v>
      </c>
      <c r="AI129" s="365"/>
      <c r="AJ129" s="365"/>
      <c r="AK129" s="365"/>
    </row>
    <row r="130" spans="1:37" x14ac:dyDescent="0.25">
      <c r="A130" s="440" t="s">
        <v>720</v>
      </c>
      <c r="B130" s="376">
        <f>Flyback_CCM_Calc!B60</f>
        <v>0</v>
      </c>
      <c r="C130" s="345" t="s">
        <v>5</v>
      </c>
      <c r="AI130" s="365"/>
      <c r="AJ130" s="365"/>
      <c r="AK130" s="365"/>
    </row>
    <row r="131" spans="1:37" x14ac:dyDescent="0.25">
      <c r="A131" s="440" t="s">
        <v>721</v>
      </c>
      <c r="B131" s="376">
        <f>Flyback_CCM_Calc!B61</f>
        <v>0</v>
      </c>
      <c r="C131" s="345" t="s">
        <v>5</v>
      </c>
    </row>
    <row r="132" spans="1:37" ht="15.75" thickBot="1" x14ac:dyDescent="0.3">
      <c r="A132" s="442" t="s">
        <v>722</v>
      </c>
      <c r="B132" s="378">
        <f>Flyback_CCM_Calc!B62</f>
        <v>67.072000000000003</v>
      </c>
      <c r="C132" s="352" t="s">
        <v>5</v>
      </c>
    </row>
    <row r="134" spans="1:37" ht="15.75" thickBot="1" x14ac:dyDescent="0.3">
      <c r="A134" s="365"/>
      <c r="B134" s="462"/>
      <c r="C134" s="365"/>
    </row>
    <row r="135" spans="1:37" ht="15.75" thickBot="1" x14ac:dyDescent="0.3">
      <c r="A135" s="472" t="s">
        <v>843</v>
      </c>
      <c r="B135" s="473"/>
      <c r="C135" s="474"/>
    </row>
    <row r="136" spans="1:37" x14ac:dyDescent="0.25">
      <c r="A136" s="440" t="s">
        <v>306</v>
      </c>
      <c r="B136" s="479">
        <f>Flyback_CCM_Calc!B41*(10^6)</f>
        <v>16.665094487941392</v>
      </c>
      <c r="C136" s="480" t="s">
        <v>393</v>
      </c>
    </row>
    <row r="137" spans="1:37" x14ac:dyDescent="0.25">
      <c r="A137" s="440" t="s">
        <v>307</v>
      </c>
      <c r="B137" s="294">
        <v>20</v>
      </c>
      <c r="C137" s="449" t="s">
        <v>393</v>
      </c>
    </row>
    <row r="138" spans="1:37" ht="15.75" thickBot="1" x14ac:dyDescent="0.3">
      <c r="A138" s="442" t="s">
        <v>704</v>
      </c>
      <c r="B138" s="298">
        <v>5</v>
      </c>
      <c r="C138" s="450" t="s">
        <v>431</v>
      </c>
    </row>
    <row r="139" spans="1:37" x14ac:dyDescent="0.25">
      <c r="A139" s="437" t="s">
        <v>308</v>
      </c>
      <c r="B139" s="446">
        <f>Flyback_CCM_Calc!B43*(10^6)</f>
        <v>16.665094487941392</v>
      </c>
      <c r="C139" s="448" t="s">
        <v>393</v>
      </c>
    </row>
    <row r="140" spans="1:37" x14ac:dyDescent="0.25">
      <c r="A140" s="440" t="s">
        <v>309</v>
      </c>
      <c r="B140" s="294">
        <v>20</v>
      </c>
      <c r="C140" s="449" t="s">
        <v>393</v>
      </c>
    </row>
    <row r="141" spans="1:37" ht="15.75" thickBot="1" x14ac:dyDescent="0.3">
      <c r="A141" s="442" t="s">
        <v>705</v>
      </c>
      <c r="B141" s="298">
        <v>5</v>
      </c>
      <c r="C141" s="450" t="s">
        <v>431</v>
      </c>
    </row>
    <row r="142" spans="1:37" x14ac:dyDescent="0.25">
      <c r="A142" s="437" t="s">
        <v>310</v>
      </c>
      <c r="B142" s="446">
        <f>Flyback_CCM_Calc!B45*(10^6)</f>
        <v>0</v>
      </c>
      <c r="C142" s="448" t="s">
        <v>393</v>
      </c>
    </row>
    <row r="143" spans="1:37" x14ac:dyDescent="0.25">
      <c r="A143" s="440" t="s">
        <v>311</v>
      </c>
      <c r="B143" s="294">
        <v>0</v>
      </c>
      <c r="C143" s="449" t="s">
        <v>393</v>
      </c>
    </row>
    <row r="144" spans="1:37" ht="15.75" thickBot="1" x14ac:dyDescent="0.3">
      <c r="A144" s="442" t="s">
        <v>706</v>
      </c>
      <c r="B144" s="298">
        <v>0</v>
      </c>
      <c r="C144" s="450" t="s">
        <v>431</v>
      </c>
    </row>
    <row r="145" spans="1:3" x14ac:dyDescent="0.25">
      <c r="A145" s="437" t="s">
        <v>312</v>
      </c>
      <c r="B145" s="446">
        <f>Flyback_CCM_Calc!B47*(10^6)</f>
        <v>0</v>
      </c>
      <c r="C145" s="448" t="s">
        <v>393</v>
      </c>
    </row>
    <row r="146" spans="1:3" x14ac:dyDescent="0.25">
      <c r="A146" s="440" t="s">
        <v>313</v>
      </c>
      <c r="B146" s="294">
        <v>0</v>
      </c>
      <c r="C146" s="449" t="s">
        <v>393</v>
      </c>
    </row>
    <row r="147" spans="1:3" ht="15.75" thickBot="1" x14ac:dyDescent="0.3">
      <c r="A147" s="442" t="s">
        <v>707</v>
      </c>
      <c r="B147" s="298">
        <v>0</v>
      </c>
      <c r="C147" s="450" t="s">
        <v>431</v>
      </c>
    </row>
    <row r="148" spans="1:3" x14ac:dyDescent="0.25">
      <c r="A148" s="437" t="s">
        <v>314</v>
      </c>
      <c r="B148" s="446">
        <f>Flyback_CCM_Calc!B49*(10^6)</f>
        <v>0</v>
      </c>
      <c r="C148" s="448" t="s">
        <v>393</v>
      </c>
    </row>
    <row r="149" spans="1:3" x14ac:dyDescent="0.25">
      <c r="A149" s="440" t="s">
        <v>315</v>
      </c>
      <c r="B149" s="294">
        <v>0</v>
      </c>
      <c r="C149" s="449" t="s">
        <v>393</v>
      </c>
    </row>
    <row r="150" spans="1:3" ht="15.75" thickBot="1" x14ac:dyDescent="0.3">
      <c r="A150" s="442" t="s">
        <v>708</v>
      </c>
      <c r="B150" s="298">
        <v>0</v>
      </c>
      <c r="C150" s="450" t="s">
        <v>431</v>
      </c>
    </row>
    <row r="151" spans="1:3" x14ac:dyDescent="0.25">
      <c r="A151" s="437" t="s">
        <v>316</v>
      </c>
      <c r="B151" s="446">
        <f>Flyback_CCM_Calc!B51*(10^6)</f>
        <v>0</v>
      </c>
      <c r="C151" s="448" t="s">
        <v>393</v>
      </c>
    </row>
    <row r="152" spans="1:3" x14ac:dyDescent="0.25">
      <c r="A152" s="440" t="s">
        <v>317</v>
      </c>
      <c r="B152" s="294">
        <v>0</v>
      </c>
      <c r="C152" s="449" t="s">
        <v>393</v>
      </c>
    </row>
    <row r="153" spans="1:3" ht="15.75" thickBot="1" x14ac:dyDescent="0.3">
      <c r="A153" s="442" t="s">
        <v>709</v>
      </c>
      <c r="B153" s="298">
        <v>0</v>
      </c>
      <c r="C153" s="450" t="s">
        <v>431</v>
      </c>
    </row>
    <row r="154" spans="1:3" x14ac:dyDescent="0.25">
      <c r="A154" s="437" t="s">
        <v>711</v>
      </c>
      <c r="B154" s="446">
        <f>Flyback_CCM_Calc!B53*(10^6)</f>
        <v>3.3330188975882784</v>
      </c>
      <c r="C154" s="448" t="s">
        <v>393</v>
      </c>
    </row>
    <row r="155" spans="1:3" x14ac:dyDescent="0.25">
      <c r="A155" s="440" t="s">
        <v>712</v>
      </c>
      <c r="B155" s="294">
        <v>4</v>
      </c>
      <c r="C155" s="449" t="s">
        <v>393</v>
      </c>
    </row>
    <row r="156" spans="1:3" ht="15.75" thickBot="1" x14ac:dyDescent="0.3">
      <c r="A156" s="442" t="s">
        <v>710</v>
      </c>
      <c r="B156" s="298">
        <v>10</v>
      </c>
      <c r="C156" s="450" t="s">
        <v>431</v>
      </c>
    </row>
    <row r="160" spans="1:3" x14ac:dyDescent="0.25">
      <c r="A160" s="340" t="s">
        <v>842</v>
      </c>
    </row>
    <row r="161" spans="1:7" x14ac:dyDescent="0.25">
      <c r="A161" s="481" t="s">
        <v>735</v>
      </c>
      <c r="B161" s="481"/>
      <c r="C161" s="481"/>
      <c r="D161" s="481"/>
      <c r="E161" s="481"/>
      <c r="F161" s="481"/>
      <c r="G161" s="481"/>
    </row>
    <row r="179" spans="1:3" ht="15.75" thickBot="1" x14ac:dyDescent="0.3"/>
    <row r="180" spans="1:3" ht="15.75" thickBot="1" x14ac:dyDescent="0.3">
      <c r="A180" s="472" t="s">
        <v>799</v>
      </c>
      <c r="B180" s="473"/>
      <c r="C180" s="474"/>
    </row>
    <row r="181" spans="1:3" x14ac:dyDescent="0.25">
      <c r="A181" s="501" t="s">
        <v>688</v>
      </c>
      <c r="B181" s="438">
        <f>Flyback_CCM_Calc!$B$120/(2*PI()*4)/1000</f>
        <v>7.0816985533536068</v>
      </c>
      <c r="C181" s="448" t="s">
        <v>8</v>
      </c>
    </row>
    <row r="182" spans="1:3" x14ac:dyDescent="0.25">
      <c r="A182" s="497" t="s">
        <v>689</v>
      </c>
      <c r="B182" s="294">
        <v>1</v>
      </c>
      <c r="C182" s="449" t="s">
        <v>8</v>
      </c>
    </row>
    <row r="183" spans="1:3" x14ac:dyDescent="0.25">
      <c r="A183" s="497" t="s">
        <v>690</v>
      </c>
      <c r="B183" s="441">
        <f>(Flyback_CCM_Calc!B120/(2*PI()))/1000</f>
        <v>28.326794213414427</v>
      </c>
      <c r="C183" s="449" t="s">
        <v>8</v>
      </c>
    </row>
    <row r="184" spans="1:3" x14ac:dyDescent="0.25">
      <c r="A184" s="497" t="s">
        <v>691</v>
      </c>
      <c r="B184" s="294">
        <v>26</v>
      </c>
      <c r="C184" s="449" t="s">
        <v>8</v>
      </c>
    </row>
    <row r="185" spans="1:3" x14ac:dyDescent="0.25">
      <c r="A185" s="497" t="s">
        <v>696</v>
      </c>
      <c r="B185" s="441">
        <f>Flyback_CCM_Calc!B113/(2*PI())/1000</f>
        <v>1.1936245401868824</v>
      </c>
      <c r="C185" s="449" t="s">
        <v>8</v>
      </c>
    </row>
    <row r="186" spans="1:3" ht="15.75" thickBot="1" x14ac:dyDescent="0.3">
      <c r="A186" s="499" t="s">
        <v>697</v>
      </c>
      <c r="B186" s="298">
        <v>0.497</v>
      </c>
      <c r="C186" s="450" t="s">
        <v>8</v>
      </c>
    </row>
    <row r="188" spans="1:3" x14ac:dyDescent="0.25">
      <c r="A188" s="481" t="s">
        <v>845</v>
      </c>
      <c r="B188" s="481"/>
      <c r="C188" s="481"/>
    </row>
    <row r="189" spans="1:3" ht="15.75" thickBot="1" x14ac:dyDescent="0.3">
      <c r="A189" s="502"/>
      <c r="B189" s="502"/>
      <c r="C189" s="502"/>
    </row>
    <row r="190" spans="1:3" ht="15.75" thickBot="1" x14ac:dyDescent="0.3">
      <c r="A190" s="488" t="s">
        <v>684</v>
      </c>
      <c r="B190" s="486"/>
      <c r="C190" s="487"/>
    </row>
    <row r="191" spans="1:3" x14ac:dyDescent="0.25">
      <c r="A191" s="437" t="s">
        <v>743</v>
      </c>
      <c r="B191" s="514">
        <v>1.25</v>
      </c>
      <c r="C191" s="364" t="s">
        <v>5</v>
      </c>
    </row>
    <row r="192" spans="1:3" x14ac:dyDescent="0.25">
      <c r="A192" s="440" t="s">
        <v>685</v>
      </c>
      <c r="B192" s="515">
        <v>10</v>
      </c>
      <c r="C192" s="345" t="s">
        <v>483</v>
      </c>
    </row>
    <row r="193" spans="1:4" x14ac:dyDescent="0.25">
      <c r="A193" s="440" t="s">
        <v>686</v>
      </c>
      <c r="B193" s="451">
        <f>(((B192*1000)*B191)/(ABS(Vout1)-B191))/1000</f>
        <v>3.3333333333333335</v>
      </c>
      <c r="C193" s="345" t="s">
        <v>483</v>
      </c>
    </row>
    <row r="194" spans="1:4" ht="15.75" thickBot="1" x14ac:dyDescent="0.3">
      <c r="A194" s="442" t="s">
        <v>687</v>
      </c>
      <c r="B194" s="467">
        <v>1.2</v>
      </c>
      <c r="C194" s="352" t="s">
        <v>483</v>
      </c>
    </row>
    <row r="195" spans="1:4" ht="15.75" thickBot="1" x14ac:dyDescent="0.3">
      <c r="A195" s="440"/>
      <c r="B195" s="365"/>
      <c r="C195" s="345"/>
    </row>
    <row r="196" spans="1:4" x14ac:dyDescent="0.25">
      <c r="A196" s="437" t="s">
        <v>698</v>
      </c>
      <c r="B196" s="514">
        <v>1.5</v>
      </c>
      <c r="C196" s="364" t="s">
        <v>517</v>
      </c>
    </row>
    <row r="197" spans="1:4" x14ac:dyDescent="0.25">
      <c r="A197" s="440" t="s">
        <v>699</v>
      </c>
      <c r="B197" s="515">
        <v>1</v>
      </c>
      <c r="C197" s="345" t="s">
        <v>5</v>
      </c>
    </row>
    <row r="198" spans="1:4" x14ac:dyDescent="0.25">
      <c r="A198" s="440" t="s">
        <v>700</v>
      </c>
      <c r="B198" s="515">
        <f>1.8</f>
        <v>1.8</v>
      </c>
      <c r="C198" s="345" t="s">
        <v>454</v>
      </c>
    </row>
    <row r="199" spans="1:4" x14ac:dyDescent="0.25">
      <c r="A199" s="440" t="s">
        <v>701</v>
      </c>
      <c r="B199" s="515">
        <v>10</v>
      </c>
      <c r="C199" s="503" t="s">
        <v>254</v>
      </c>
    </row>
    <row r="200" spans="1:4" x14ac:dyDescent="0.25">
      <c r="A200" s="440" t="s">
        <v>736</v>
      </c>
      <c r="B200" s="515">
        <f>Flyback_CCM_Calc!B92</f>
        <v>5</v>
      </c>
      <c r="C200" s="503" t="s">
        <v>5</v>
      </c>
    </row>
    <row r="201" spans="1:4" x14ac:dyDescent="0.25">
      <c r="A201" s="440" t="s">
        <v>740</v>
      </c>
      <c r="B201" s="365">
        <f>Flyback_CCM_Calc!B93</f>
        <v>5000</v>
      </c>
      <c r="C201" s="503" t="s">
        <v>254</v>
      </c>
    </row>
    <row r="202" spans="1:4" ht="15.75" thickBot="1" x14ac:dyDescent="0.3">
      <c r="A202" s="442" t="s">
        <v>741</v>
      </c>
      <c r="B202" s="467">
        <f>B191</f>
        <v>1.25</v>
      </c>
      <c r="C202" s="504" t="s">
        <v>5</v>
      </c>
    </row>
    <row r="203" spans="1:4" ht="15.75" thickBot="1" x14ac:dyDescent="0.3">
      <c r="A203" s="440"/>
      <c r="B203" s="365"/>
      <c r="C203" s="505"/>
      <c r="D203" s="365"/>
    </row>
    <row r="204" spans="1:4" x14ac:dyDescent="0.25">
      <c r="A204" s="437" t="s">
        <v>744</v>
      </c>
      <c r="B204" s="506">
        <f>B196*B201*Flyback_CCM_Calc!B126/1000</f>
        <v>90.387231923743897</v>
      </c>
      <c r="C204" s="507" t="s">
        <v>747</v>
      </c>
    </row>
    <row r="205" spans="1:4" x14ac:dyDescent="0.25">
      <c r="A205" s="440" t="s">
        <v>745</v>
      </c>
      <c r="B205" s="515">
        <v>52</v>
      </c>
      <c r="C205" s="503" t="s">
        <v>747</v>
      </c>
    </row>
    <row r="206" spans="1:4" ht="15.75" thickBot="1" x14ac:dyDescent="0.3">
      <c r="A206" s="442" t="s">
        <v>748</v>
      </c>
      <c r="B206" s="484">
        <f>20*LOG((B196*B201)/(1000*B205))</f>
        <v>-16.818841604861984</v>
      </c>
      <c r="C206" s="504" t="s">
        <v>749</v>
      </c>
    </row>
    <row r="207" spans="1:4" ht="15.75" thickBot="1" x14ac:dyDescent="0.3">
      <c r="A207" s="440"/>
      <c r="B207" s="365"/>
      <c r="C207" s="345"/>
    </row>
    <row r="208" spans="1:4" x14ac:dyDescent="0.25">
      <c r="A208" s="437" t="s">
        <v>752</v>
      </c>
      <c r="B208" s="508">
        <f>1/(2*PI()*B201*B184*1000)*(10^9)</f>
        <v>1.2242687930145795</v>
      </c>
      <c r="C208" s="364" t="s">
        <v>454</v>
      </c>
    </row>
    <row r="209" spans="1:4" x14ac:dyDescent="0.25">
      <c r="A209" s="440" t="s">
        <v>753</v>
      </c>
      <c r="B209" s="515">
        <v>1.32</v>
      </c>
      <c r="C209" s="345" t="s">
        <v>454</v>
      </c>
    </row>
    <row r="210" spans="1:4" x14ac:dyDescent="0.25">
      <c r="A210" s="440" t="s">
        <v>754</v>
      </c>
      <c r="B210" s="451">
        <f>(1/(B201*(B209*(10^-9)))/(2*PI()))/1000</f>
        <v>24.114385316953836</v>
      </c>
      <c r="C210" s="345" t="s">
        <v>8</v>
      </c>
    </row>
    <row r="211" spans="1:4" x14ac:dyDescent="0.25">
      <c r="A211" s="440" t="s">
        <v>750</v>
      </c>
      <c r="B211" s="451">
        <f>(1/(B192*1000*2*PI()*B186*1000))*10^9</f>
        <v>32.023127382675121</v>
      </c>
      <c r="C211" s="345" t="s">
        <v>454</v>
      </c>
    </row>
    <row r="212" spans="1:4" x14ac:dyDescent="0.25">
      <c r="A212" s="440" t="s">
        <v>751</v>
      </c>
      <c r="B212" s="515">
        <v>33</v>
      </c>
      <c r="C212" s="345" t="s">
        <v>454</v>
      </c>
    </row>
    <row r="213" spans="1:4" ht="15.75" thickBot="1" x14ac:dyDescent="0.3">
      <c r="A213" s="442" t="s">
        <v>755</v>
      </c>
      <c r="B213" s="484">
        <f>1/(B192*B212*(10^-9)*1000*2*PI())/1000</f>
        <v>0.4822877063390768</v>
      </c>
      <c r="C213" s="352" t="s">
        <v>8</v>
      </c>
    </row>
    <row r="214" spans="1:4" x14ac:dyDescent="0.25">
      <c r="A214" s="440"/>
      <c r="B214" s="365"/>
      <c r="C214" s="505"/>
      <c r="D214" s="365"/>
    </row>
    <row r="215" spans="1:4" x14ac:dyDescent="0.25">
      <c r="A215" s="440"/>
      <c r="B215" s="365"/>
      <c r="C215" s="505"/>
      <c r="D215" s="365"/>
    </row>
    <row r="216" spans="1:4" x14ac:dyDescent="0.25">
      <c r="A216" s="440"/>
      <c r="B216" s="365"/>
      <c r="C216" s="505"/>
      <c r="D216" s="365"/>
    </row>
    <row r="217" spans="1:4" x14ac:dyDescent="0.25">
      <c r="A217" s="440"/>
      <c r="B217" s="365"/>
      <c r="C217" s="505"/>
      <c r="D217" s="365"/>
    </row>
    <row r="218" spans="1:4" x14ac:dyDescent="0.25">
      <c r="A218" s="440"/>
      <c r="B218" s="365"/>
      <c r="C218" s="505"/>
      <c r="D218" s="365"/>
    </row>
    <row r="229" spans="1:4" x14ac:dyDescent="0.25">
      <c r="A229" s="440"/>
      <c r="B229" s="365"/>
      <c r="C229" s="505"/>
      <c r="D229" s="365"/>
    </row>
    <row r="230" spans="1:4" x14ac:dyDescent="0.25">
      <c r="A230" s="440"/>
      <c r="B230" s="365"/>
      <c r="C230" s="505"/>
      <c r="D230" s="365"/>
    </row>
    <row r="231" spans="1:4" x14ac:dyDescent="0.25">
      <c r="A231" s="440"/>
      <c r="B231" s="365"/>
      <c r="C231" s="505"/>
      <c r="D231" s="365"/>
    </row>
    <row r="233" spans="1:4" x14ac:dyDescent="0.25">
      <c r="A233" s="481" t="s">
        <v>970</v>
      </c>
      <c r="B233" s="481"/>
      <c r="C233" s="481"/>
    </row>
    <row r="234" spans="1:4" ht="15.75" thickBot="1" x14ac:dyDescent="0.3">
      <c r="A234" s="502"/>
      <c r="B234" s="502"/>
      <c r="C234" s="502"/>
    </row>
    <row r="235" spans="1:4" ht="15.75" thickBot="1" x14ac:dyDescent="0.3">
      <c r="A235" s="509"/>
      <c r="B235" s="509"/>
      <c r="C235" s="509"/>
    </row>
    <row r="236" spans="1:4" x14ac:dyDescent="0.25">
      <c r="A236" s="510" t="s">
        <v>742</v>
      </c>
      <c r="B236" s="511">
        <f>Flyback_CCM_Calc!B79</f>
        <v>1.25</v>
      </c>
      <c r="C236" s="512" t="s">
        <v>5</v>
      </c>
    </row>
    <row r="237" spans="1:4" x14ac:dyDescent="0.25">
      <c r="A237" s="440" t="s">
        <v>685</v>
      </c>
      <c r="B237" s="515">
        <v>10</v>
      </c>
      <c r="C237" s="345" t="s">
        <v>483</v>
      </c>
    </row>
    <row r="238" spans="1:4" x14ac:dyDescent="0.25">
      <c r="A238" s="440" t="s">
        <v>686</v>
      </c>
      <c r="B238" s="451">
        <f>(((B237*1000)*Flyback_CCM_Calc!B79)/(ABS(Vout1)-Flyback_CCM_Calc!B79))/1000</f>
        <v>3.3333333333333335</v>
      </c>
      <c r="C238" s="345" t="s">
        <v>483</v>
      </c>
    </row>
    <row r="239" spans="1:4" ht="15.75" thickBot="1" x14ac:dyDescent="0.3">
      <c r="A239" s="442" t="s">
        <v>814</v>
      </c>
      <c r="B239" s="467">
        <v>1.2</v>
      </c>
      <c r="C239" s="352" t="s">
        <v>483</v>
      </c>
    </row>
    <row r="240" spans="1:4" ht="15.75" thickBot="1" x14ac:dyDescent="0.3"/>
    <row r="241" spans="1:3" x14ac:dyDescent="0.25">
      <c r="A241" s="437" t="s">
        <v>759</v>
      </c>
      <c r="B241" s="506">
        <f>B186/(B184*B237*1000*Flyback_CCM_Calc!B132)*(10^9)</f>
        <v>8.2320199518120045</v>
      </c>
      <c r="C241" s="364" t="s">
        <v>454</v>
      </c>
    </row>
    <row r="242" spans="1:3" x14ac:dyDescent="0.25">
      <c r="A242" s="440" t="s">
        <v>760</v>
      </c>
      <c r="B242" s="515">
        <v>5.0999999999999996</v>
      </c>
      <c r="C242" s="345" t="s">
        <v>454</v>
      </c>
    </row>
    <row r="243" spans="1:3" x14ac:dyDescent="0.25">
      <c r="A243" s="440" t="s">
        <v>761</v>
      </c>
      <c r="B243" s="451">
        <f>((1/(B237*1000*Flyback_CCM_Calc!B132))-('Flyback CCM'!B241*(10^-9)))*(10^9)</f>
        <v>422.41691112889646</v>
      </c>
      <c r="C243" s="345" t="s">
        <v>454</v>
      </c>
    </row>
    <row r="244" spans="1:3" x14ac:dyDescent="0.25">
      <c r="A244" s="440" t="s">
        <v>762</v>
      </c>
      <c r="B244" s="515">
        <v>245</v>
      </c>
      <c r="C244" s="345" t="s">
        <v>454</v>
      </c>
    </row>
    <row r="245" spans="1:3" x14ac:dyDescent="0.25">
      <c r="A245" s="440" t="s">
        <v>763</v>
      </c>
      <c r="B245" s="451">
        <f>1/(2*PI()*B186*1000*B244*(10^-9))/1000</f>
        <v>1.3070664237826579</v>
      </c>
      <c r="C245" s="503" t="s">
        <v>747</v>
      </c>
    </row>
    <row r="246" spans="1:3" x14ac:dyDescent="0.25">
      <c r="A246" s="440" t="s">
        <v>764</v>
      </c>
      <c r="B246" s="515">
        <v>1.3</v>
      </c>
      <c r="C246" s="503" t="s">
        <v>747</v>
      </c>
    </row>
    <row r="247" spans="1:3" x14ac:dyDescent="0.25">
      <c r="A247" s="440" t="s">
        <v>754</v>
      </c>
      <c r="B247" s="451">
        <f>1/(2*PI()*B246*1000*B242*(10^-9))/1000</f>
        <v>24.005270451266266</v>
      </c>
      <c r="C247" s="503" t="s">
        <v>8</v>
      </c>
    </row>
    <row r="248" spans="1:3" ht="15.75" thickBot="1" x14ac:dyDescent="0.3">
      <c r="A248" s="442" t="s">
        <v>755</v>
      </c>
      <c r="B248" s="484">
        <f>1/(2*PI()*B246*1000*B244*(10^-9))/1000</f>
        <v>0.49970154816921614</v>
      </c>
      <c r="C248" s="504" t="s">
        <v>8</v>
      </c>
    </row>
    <row r="268" spans="1:2" x14ac:dyDescent="0.25">
      <c r="A268" s="513"/>
      <c r="B268" s="513"/>
    </row>
    <row r="269" spans="1:2" x14ac:dyDescent="0.25">
      <c r="A269" s="513"/>
      <c r="B269" s="513"/>
    </row>
  </sheetData>
  <sheetProtection password="E1A4" sheet="1" objects="1" scenarios="1"/>
  <mergeCells count="19">
    <mergeCell ref="A1:XFD2"/>
    <mergeCell ref="A65:C65"/>
    <mergeCell ref="A180:C180"/>
    <mergeCell ref="A135:C135"/>
    <mergeCell ref="A125:C125"/>
    <mergeCell ref="AI125:AK125"/>
    <mergeCell ref="F4:H4"/>
    <mergeCell ref="A34:C34"/>
    <mergeCell ref="B35:C35"/>
    <mergeCell ref="B36:C36"/>
    <mergeCell ref="B37:C37"/>
    <mergeCell ref="B38:C38"/>
    <mergeCell ref="B39:C39"/>
    <mergeCell ref="A161:G161"/>
    <mergeCell ref="A77:C77"/>
    <mergeCell ref="A71:C71"/>
    <mergeCell ref="A268:B269"/>
    <mergeCell ref="A233:C234"/>
    <mergeCell ref="A188:C189"/>
  </mergeCells>
  <dataValidations count="1">
    <dataValidation type="list" showInputMessage="1" showErrorMessage="1" sqref="B39">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30744" r:id="rId4">
          <objectPr defaultSize="0" autoPict="0" r:id="rId5">
            <anchor moveWithCells="1">
              <from>
                <xdr:col>0</xdr:col>
                <xdr:colOff>0</xdr:colOff>
                <xdr:row>2</xdr:row>
                <xdr:rowOff>76200</xdr:rowOff>
              </from>
              <to>
                <xdr:col>4</xdr:col>
                <xdr:colOff>190500</xdr:colOff>
                <xdr:row>12</xdr:row>
                <xdr:rowOff>28575</xdr:rowOff>
              </to>
            </anchor>
          </objectPr>
        </oleObject>
      </mc:Choice>
      <mc:Fallback>
        <oleObject progId="Visio.Drawing.11" shapeId="30744" r:id="rId4"/>
      </mc:Fallback>
    </mc:AlternateContent>
    <mc:AlternateContent xmlns:mc="http://schemas.openxmlformats.org/markup-compatibility/2006">
      <mc:Choice Requires="x14">
        <oleObject progId="Visio.Drawing.11" shapeId="30746" r:id="rId6">
          <objectPr defaultSize="0" r:id="rId7">
            <anchor moveWithCells="1">
              <from>
                <xdr:col>4</xdr:col>
                <xdr:colOff>19050</xdr:colOff>
                <xdr:row>189</xdr:row>
                <xdr:rowOff>171450</xdr:rowOff>
              </from>
              <to>
                <xdr:col>10</xdr:col>
                <xdr:colOff>238125</xdr:colOff>
                <xdr:row>200</xdr:row>
                <xdr:rowOff>19050</xdr:rowOff>
              </to>
            </anchor>
          </objectPr>
        </oleObject>
      </mc:Choice>
      <mc:Fallback>
        <oleObject progId="Visio.Drawing.11" shapeId="30746" r:id="rId6"/>
      </mc:Fallback>
    </mc:AlternateContent>
    <mc:AlternateContent xmlns:mc="http://schemas.openxmlformats.org/markup-compatibility/2006">
      <mc:Choice Requires="x14">
        <oleObject progId="Visio.Drawing.11" shapeId="30747" r:id="rId8">
          <objectPr defaultSize="0" r:id="rId9">
            <anchor moveWithCells="1">
              <from>
                <xdr:col>3</xdr:col>
                <xdr:colOff>600075</xdr:colOff>
                <xdr:row>234</xdr:row>
                <xdr:rowOff>190500</xdr:rowOff>
              </from>
              <to>
                <xdr:col>8</xdr:col>
                <xdr:colOff>19050</xdr:colOff>
                <xdr:row>243</xdr:row>
                <xdr:rowOff>19050</xdr:rowOff>
              </to>
            </anchor>
          </objectPr>
        </oleObject>
      </mc:Choice>
      <mc:Fallback>
        <oleObject progId="Visio.Drawing.11" shapeId="30747" r:id="rId8"/>
      </mc:Fallback>
    </mc:AlternateContent>
    <mc:AlternateContent xmlns:mc="http://schemas.openxmlformats.org/markup-compatibility/2006">
      <mc:Choice Requires="x14">
        <oleObject progId="Visio.Drawing.11" shapeId="30748" r:id="rId10">
          <objectPr defaultSize="0" autoPict="0" r:id="rId11">
            <anchor moveWithCells="1">
              <from>
                <xdr:col>4</xdr:col>
                <xdr:colOff>19050</xdr:colOff>
                <xdr:row>69</xdr:row>
                <xdr:rowOff>180975</xdr:rowOff>
              </from>
              <to>
                <xdr:col>10</xdr:col>
                <xdr:colOff>0</xdr:colOff>
                <xdr:row>84</xdr:row>
                <xdr:rowOff>180975</xdr:rowOff>
              </to>
            </anchor>
          </objectPr>
        </oleObject>
      </mc:Choice>
      <mc:Fallback>
        <oleObject progId="Visio.Drawing.11" shapeId="30748"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V120"/>
  <sheetViews>
    <sheetView topLeftCell="A4" zoomScaleNormal="100" workbookViewId="0">
      <selection activeCell="G31" sqref="G31"/>
    </sheetView>
  </sheetViews>
  <sheetFormatPr defaultRowHeight="15" x14ac:dyDescent="0.25"/>
  <cols>
    <col min="1" max="1" width="30.42578125" customWidth="1"/>
    <col min="2" max="2" width="12" bestFit="1" customWidth="1"/>
    <col min="3" max="3" width="2.5703125" customWidth="1"/>
    <col min="7" max="7" width="13" customWidth="1"/>
    <col min="20" max="20" width="12" bestFit="1" customWidth="1"/>
    <col min="21" max="21" width="12" customWidth="1"/>
    <col min="22" max="22" width="12" bestFit="1" customWidth="1"/>
    <col min="23" max="25" width="12" customWidth="1"/>
    <col min="26" max="26" width="12" bestFit="1" customWidth="1"/>
    <col min="27" max="28" width="12" customWidth="1"/>
    <col min="60" max="60" width="9.140625" customWidth="1"/>
    <col min="83" max="83" width="12.5703125" customWidth="1"/>
    <col min="84" max="84" width="11.42578125" customWidth="1"/>
    <col min="85" max="85" width="12.28515625" customWidth="1"/>
    <col min="86" max="86" width="11.5703125" customWidth="1"/>
    <col min="87" max="87" width="10.140625" customWidth="1"/>
    <col min="88" max="89" width="9.140625" customWidth="1"/>
    <col min="99" max="99" width="10.7109375" customWidth="1"/>
  </cols>
  <sheetData>
    <row r="2" spans="1:100" ht="15.75" thickBot="1" x14ac:dyDescent="0.3">
      <c r="U2">
        <v>1</v>
      </c>
      <c r="V2">
        <v>2</v>
      </c>
      <c r="W2">
        <v>3</v>
      </c>
      <c r="X2">
        <v>4</v>
      </c>
      <c r="Y2">
        <v>5</v>
      </c>
      <c r="Z2">
        <v>6</v>
      </c>
      <c r="AA2">
        <v>7</v>
      </c>
      <c r="AB2">
        <v>8</v>
      </c>
      <c r="AC2">
        <v>9</v>
      </c>
      <c r="AD2">
        <v>10</v>
      </c>
      <c r="AE2">
        <v>11</v>
      </c>
      <c r="AF2">
        <v>12</v>
      </c>
      <c r="AG2">
        <v>13</v>
      </c>
      <c r="AH2">
        <v>14</v>
      </c>
      <c r="AI2">
        <v>15</v>
      </c>
      <c r="AJ2">
        <v>16</v>
      </c>
      <c r="AK2">
        <v>17</v>
      </c>
      <c r="AL2">
        <v>18</v>
      </c>
      <c r="AM2">
        <v>19</v>
      </c>
      <c r="AN2">
        <v>20</v>
      </c>
      <c r="AO2">
        <v>21</v>
      </c>
      <c r="AP2">
        <v>22</v>
      </c>
      <c r="AQ2">
        <v>23</v>
      </c>
      <c r="AR2">
        <v>24</v>
      </c>
      <c r="AS2">
        <v>25</v>
      </c>
      <c r="AT2">
        <v>26</v>
      </c>
      <c r="AU2">
        <v>27</v>
      </c>
      <c r="AW2" s="138"/>
      <c r="AX2" s="138"/>
      <c r="AY2" s="138"/>
      <c r="AZ2" s="138"/>
      <c r="BS2" s="311" t="s">
        <v>596</v>
      </c>
      <c r="BT2" s="311"/>
      <c r="BU2" s="311"/>
      <c r="BV2" s="311"/>
      <c r="BW2" s="311"/>
      <c r="BX2" s="307" t="s">
        <v>597</v>
      </c>
      <c r="BY2" s="307"/>
      <c r="BZ2" s="307"/>
      <c r="CA2" s="307"/>
      <c r="CB2" s="307"/>
      <c r="CC2" s="307"/>
      <c r="CD2" s="307"/>
      <c r="CE2" s="307"/>
      <c r="CF2" s="306" t="s">
        <v>599</v>
      </c>
      <c r="CG2" s="306"/>
      <c r="CH2" s="306"/>
      <c r="CI2" s="306"/>
      <c r="CJ2" s="306"/>
      <c r="CK2" s="306"/>
      <c r="CL2" s="308" t="s">
        <v>600</v>
      </c>
      <c r="CM2" s="308"/>
      <c r="CN2" s="308"/>
      <c r="CO2" s="308"/>
      <c r="CP2" s="308"/>
      <c r="CQ2" s="308"/>
      <c r="CR2" s="308"/>
      <c r="CS2" s="309" t="s">
        <v>602</v>
      </c>
      <c r="CT2" s="309"/>
      <c r="CU2" s="309"/>
      <c r="CV2" t="s">
        <v>451</v>
      </c>
    </row>
    <row r="3" spans="1:100" s="14" customFormat="1" ht="75.75" thickBot="1" x14ac:dyDescent="0.3">
      <c r="K3" s="14" t="s">
        <v>20</v>
      </c>
      <c r="L3" s="66" t="s">
        <v>10</v>
      </c>
      <c r="M3" s="68" t="s">
        <v>233</v>
      </c>
      <c r="N3" s="66" t="s">
        <v>39</v>
      </c>
      <c r="O3" s="67" t="s">
        <v>40</v>
      </c>
      <c r="P3" s="68" t="s">
        <v>41</v>
      </c>
      <c r="Q3" s="129" t="s">
        <v>61</v>
      </c>
      <c r="R3" s="66" t="s">
        <v>49</v>
      </c>
      <c r="S3" s="67" t="s">
        <v>81</v>
      </c>
      <c r="T3" s="67" t="s">
        <v>82</v>
      </c>
      <c r="U3" s="67" t="s">
        <v>326</v>
      </c>
      <c r="V3" s="68" t="s">
        <v>146</v>
      </c>
      <c r="W3" s="67" t="s">
        <v>392</v>
      </c>
      <c r="X3" s="66" t="s">
        <v>329</v>
      </c>
      <c r="Y3" s="67" t="s">
        <v>330</v>
      </c>
      <c r="Z3" s="67" t="s">
        <v>121</v>
      </c>
      <c r="AA3" s="68" t="s">
        <v>340</v>
      </c>
      <c r="AB3" s="66" t="s">
        <v>327</v>
      </c>
      <c r="AC3" s="67" t="s">
        <v>328</v>
      </c>
      <c r="AD3" s="67" t="s">
        <v>122</v>
      </c>
      <c r="AE3" s="68" t="s">
        <v>342</v>
      </c>
      <c r="AF3" s="66" t="s">
        <v>331</v>
      </c>
      <c r="AG3" s="67" t="s">
        <v>332</v>
      </c>
      <c r="AH3" s="67" t="s">
        <v>123</v>
      </c>
      <c r="AI3" s="68" t="s">
        <v>343</v>
      </c>
      <c r="AJ3" s="66" t="s">
        <v>333</v>
      </c>
      <c r="AK3" s="67" t="s">
        <v>334</v>
      </c>
      <c r="AL3" s="67" t="s">
        <v>124</v>
      </c>
      <c r="AM3" s="68" t="s">
        <v>344</v>
      </c>
      <c r="AN3" s="66" t="s">
        <v>336</v>
      </c>
      <c r="AO3" s="67" t="s">
        <v>335</v>
      </c>
      <c r="AP3" s="67" t="s">
        <v>126</v>
      </c>
      <c r="AQ3" s="68" t="s">
        <v>345</v>
      </c>
      <c r="AR3" s="66" t="s">
        <v>337</v>
      </c>
      <c r="AS3" s="67" t="s">
        <v>338</v>
      </c>
      <c r="AT3" s="67" t="s">
        <v>125</v>
      </c>
      <c r="AU3" s="68" t="s">
        <v>341</v>
      </c>
      <c r="AV3" s="81" t="s">
        <v>202</v>
      </c>
      <c r="AW3" s="81" t="s">
        <v>221</v>
      </c>
      <c r="AX3" s="160" t="s">
        <v>216</v>
      </c>
      <c r="AY3" s="161"/>
      <c r="AZ3" s="162" t="s">
        <v>217</v>
      </c>
      <c r="BA3" s="160" t="s">
        <v>221</v>
      </c>
      <c r="BB3" s="82" t="s">
        <v>225</v>
      </c>
      <c r="BC3" s="81" t="s">
        <v>221</v>
      </c>
      <c r="BD3" s="82" t="s">
        <v>226</v>
      </c>
      <c r="BE3" s="56" t="s">
        <v>390</v>
      </c>
      <c r="BF3" s="90" t="s">
        <v>391</v>
      </c>
      <c r="BG3" s="56" t="s">
        <v>362</v>
      </c>
      <c r="BH3" s="90" t="s">
        <v>363</v>
      </c>
      <c r="BI3" s="56" t="s">
        <v>364</v>
      </c>
      <c r="BJ3" s="90" t="s">
        <v>365</v>
      </c>
      <c r="BK3" s="56" t="s">
        <v>366</v>
      </c>
      <c r="BL3" s="90" t="s">
        <v>367</v>
      </c>
      <c r="BM3" s="56" t="s">
        <v>368</v>
      </c>
      <c r="BN3" s="90" t="s">
        <v>369</v>
      </c>
      <c r="BO3" s="56" t="s">
        <v>370</v>
      </c>
      <c r="BP3" s="90" t="s">
        <v>371</v>
      </c>
      <c r="BQ3" s="57" t="s">
        <v>372</v>
      </c>
      <c r="BR3" s="90" t="s">
        <v>373</v>
      </c>
      <c r="BS3" s="50" t="s">
        <v>463</v>
      </c>
      <c r="BT3" s="73" t="s">
        <v>464</v>
      </c>
      <c r="BU3" s="73" t="s">
        <v>465</v>
      </c>
      <c r="BV3" s="73" t="s">
        <v>466</v>
      </c>
      <c r="BW3" s="51" t="s">
        <v>467</v>
      </c>
      <c r="BX3" s="81" t="s">
        <v>576</v>
      </c>
      <c r="BY3" s="160" t="s">
        <v>577</v>
      </c>
      <c r="BZ3" s="160" t="s">
        <v>578</v>
      </c>
      <c r="CA3" s="160" t="s">
        <v>579</v>
      </c>
      <c r="CB3" s="160" t="s">
        <v>580</v>
      </c>
      <c r="CC3" s="160" t="s">
        <v>581</v>
      </c>
      <c r="CD3" s="160" t="s">
        <v>582</v>
      </c>
      <c r="CE3" s="230" t="s">
        <v>598</v>
      </c>
      <c r="CF3" s="81" t="s">
        <v>558</v>
      </c>
      <c r="CG3" s="67" t="s">
        <v>559</v>
      </c>
      <c r="CH3" s="229" t="s">
        <v>943</v>
      </c>
      <c r="CI3" s="229" t="s">
        <v>944</v>
      </c>
      <c r="CJ3" s="68" t="s">
        <v>590</v>
      </c>
      <c r="CK3" s="68"/>
      <c r="CL3" s="66" t="s">
        <v>568</v>
      </c>
      <c r="CM3" s="67" t="s">
        <v>569</v>
      </c>
      <c r="CN3" s="67" t="s">
        <v>570</v>
      </c>
      <c r="CO3" s="67" t="s">
        <v>571</v>
      </c>
      <c r="CP3" s="67" t="s">
        <v>572</v>
      </c>
      <c r="CQ3" s="68" t="s">
        <v>573</v>
      </c>
      <c r="CR3" s="129" t="s">
        <v>601</v>
      </c>
      <c r="CS3" s="213" t="s">
        <v>605</v>
      </c>
      <c r="CT3" s="213" t="s">
        <v>604</v>
      </c>
      <c r="CU3" s="213" t="s">
        <v>9</v>
      </c>
      <c r="CV3" s="14" t="s">
        <v>455</v>
      </c>
    </row>
    <row r="4" spans="1:100" x14ac:dyDescent="0.25">
      <c r="A4" s="310" t="s">
        <v>297</v>
      </c>
      <c r="B4" s="310"/>
      <c r="C4" s="12"/>
      <c r="K4">
        <v>0</v>
      </c>
      <c r="L4" s="91">
        <f t="shared" ref="L4:L35" si="0">VinMin+(K4*DC_Step)</f>
        <v>9</v>
      </c>
      <c r="M4" s="93">
        <f t="shared" ref="M4:M35" si="1">Pout_FB/(L4*eff)</f>
        <v>0.61728395061728403</v>
      </c>
      <c r="N4" s="122">
        <f>IF(VoutPri_FB&gt;0,(VoutPri_FB/(0.9*RR*ILavg_FlyB*Fsw))*(1-(VoutPri_FB/L4)),0)</f>
        <v>3.8822889975929807E-5</v>
      </c>
      <c r="O4" s="97">
        <f>IF(VoutPri_FB&gt;0,(VoutPri_FB/(RR*ILavg_FlyB*Fsw))*(1-(VoutPri_FB/L4)),0)</f>
        <v>3.4940600978336826E-5</v>
      </c>
      <c r="P4" s="123">
        <f>IF(VoutPri_FB&gt;0,(VoutPri_FB/(1.1*RR*ILavg_FlyB*Fsw))*(1-(VoutPri_FB/L4)),0)</f>
        <v>3.1764182707578927E-5</v>
      </c>
      <c r="Q4" s="127">
        <f>IF(VoutPri_FB&gt;0,VoutPri_FB/L4,0)</f>
        <v>0.55555555555555558</v>
      </c>
      <c r="R4" s="91">
        <f>M4/Q4</f>
        <v>1.1111111111111112</v>
      </c>
      <c r="S4" s="92">
        <f t="shared" ref="S4:S35" si="2">((L4-VoutPri_FB)*Q4)/(Lm_FlyB*Fsw)</f>
        <v>0.17636684303350972</v>
      </c>
      <c r="T4" s="92">
        <f>R4+(0.5*S4)</f>
        <v>1.1992945326278661</v>
      </c>
      <c r="U4" s="92">
        <f t="shared" ref="U4:U35" si="3">SUM(V4,(Ns1_FlyB/Np)*Z4,(Ns2_FlyB/Np)*AD4,(Ns3_FlyB/Np)*AH4,(Ns4_FlyB/Np)*AL4,(Ns5_FlyB/Np)*AP4,(Ns6_FlyB/Np)*AT4)</f>
        <v>2.4203314726186096</v>
      </c>
      <c r="V4" s="93">
        <f>R4*SQRT(Q4)*SQRT(1+((1/3)*(S4/(2*R4))^2))</f>
        <v>0.8290422876600072</v>
      </c>
      <c r="W4" s="92">
        <f>SQRT((V4^2)-(M4^2))</f>
        <v>0.55341814122673694</v>
      </c>
      <c r="X4" s="117">
        <f t="shared" ref="X4:X35" si="4">IF(AND(Vout1&lt;&gt;0,Iout1&lt;&gt;0,Ns1_FlyB&lt;&gt;0),(Iout1/(1-Q4)),0)</f>
        <v>1.125</v>
      </c>
      <c r="Y4" s="103">
        <f t="shared" ref="Y4:Y35" si="5">IF(AND(Vout1&lt;&gt;0,Iout1&lt;&gt;0,Ns1_FlyB&lt;&gt;0),(ABS(Vout1)*(1-Q4))/(((n1_FlyB/Np)^2)*Lm_FlyB*Fsw),0)</f>
        <v>0.15696586243637389</v>
      </c>
      <c r="Z4" s="103">
        <f t="shared" ref="Z4:Z35" si="6">IF(AND(Vout1&lt;&gt;0,Iout1&lt;&gt;0,Ns1_FlyB&lt;&gt;0),X4*SQRT(1-Q4)*SQRT(1+((1/3)*((Y4/(2*X4))^2))),0)</f>
        <v>0.75060810611254825</v>
      </c>
      <c r="AA4" s="118">
        <f t="shared" ref="AA4:AA35" si="7">IF(AND(Vout1&lt;&gt;0,Iout1&lt;&gt;0,Ns1_FlyB&lt;&gt;0),SQRT((Z4^2)-(Iout1^2)),0)</f>
        <v>0.55983259012124909</v>
      </c>
      <c r="AB4" s="117">
        <f t="shared" ref="AB4:AB35" si="8">IF(AND(Vout2&lt;&gt;0,Iout2&lt;&gt;0,Ns2_FlyB&lt;&gt;0),(Iout2/(1-Q4)),0)</f>
        <v>1.125</v>
      </c>
      <c r="AC4" s="103">
        <f t="shared" ref="AC4:AC35" si="9">IF(AND(Vout2&lt;&gt;0,Iout2&lt;&gt;0,Ns2_FlyB&lt;&gt;0),(ABS(Vout2)*(1-Q4))/(((n2_FlyB/Np)^2)*Lm_FlyB*Fsw),0)</f>
        <v>0.15696586243637389</v>
      </c>
      <c r="AD4" s="103">
        <f t="shared" ref="AD4:AD35" si="10">IF(AND(Vout2&lt;&gt;0,Iout2&lt;&gt;0,Ns2_FlyB&lt;&gt;0),AB4*SQRT(1-Q4)*SQRT(1+((1/3)*((AC4/(2*AB4))^2))),0)</f>
        <v>0.75060810611254825</v>
      </c>
      <c r="AE4" s="118">
        <f t="shared" ref="AE4:AE35" si="11">IF(AND(Vout2&lt;&gt;0,Iout2&lt;&gt;0,Ns2_FlyB&lt;&gt;0),SQRT((AD4^2)-(Iout2^2)),0)</f>
        <v>0.55983259012124909</v>
      </c>
      <c r="AF4" s="117">
        <f t="shared" ref="AF4:AF35" si="12">IF(AND(Vout3&lt;&gt;0,Iout3&lt;&gt;0,Ns3_FlyB&lt;&gt;0),(Iout3/(1-Q4)),0)</f>
        <v>0</v>
      </c>
      <c r="AG4" s="103">
        <f t="shared" ref="AG4:AG35" si="13">IF(AND(Vout3&lt;&gt;0,Iout3&lt;&gt;0,Ns3_FlyB&lt;&gt;0),(ABS(Vout3)*(1-Q4))/(((n3_FlyB/Np)^2)*Lm_FlyB*Fsw),0)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IF(AND(Vout4&lt;&gt;0,Iout4&lt;&gt;0,Ns4_FlyB&lt;&gt;0),(Iout4/(1-Q4)),0)</f>
        <v>0</v>
      </c>
      <c r="AK4" s="103">
        <f t="shared" ref="AK4:AK35" si="17">IF(AND(Vout4&lt;&gt;0,Iout4&lt;&gt;0,Ns4_FlyB&lt;&gt;0),(ABS(Vout4)*(1-Q4))/(((n4_FlyB/Np)^2)*Lm_FlyB*Fsw),0)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IF(AND(Vout5&lt;&gt;0,Iout5&lt;&gt;0,Ns5_FlyB&lt;&gt;0),(Iout5/(1-Q4)),0)</f>
        <v>0</v>
      </c>
      <c r="AO4" s="103">
        <f t="shared" ref="AO4:AO35" si="21">IF(AND(Vout5&lt;&gt;0,Iout5&lt;&gt;0,Ns5_FlyB&lt;&gt;0),(ABS(Vout5)*(1-Q4))/(((n5_FlyB/Np)^2)*Lm_FlyB*Fsw),0)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IF(AND(Vout6&lt;&gt;0,Iout6&lt;&gt;0,Ns6_FlyB&lt;&gt;0),(Iout6/(1-Q4)),0)</f>
        <v>0</v>
      </c>
      <c r="AS4" s="103">
        <f t="shared" ref="AS4:AS35" si="25">IF(AND(Vout6&lt;&gt;0,Iout6&lt;&gt;0,Ns6_FlyB&lt;&gt;0),(ABS(Vout6)*(1-Q4))/(((n6_FlyB/Np)^2)*Lm_FlyB*Fsw),0)</f>
        <v>0</v>
      </c>
      <c r="AT4" s="103">
        <f t="shared" ref="AT4:AT35" si="26">IF(AND(Vout6&lt;&gt;0,Iout6&lt;&gt;0,Ns6_FlyB&lt;&gt;0),AP4*SQRT(1-Q4)*SQRT(1+((1/3)*((AP4/(2*AR4))^2))),0)</f>
        <v>0</v>
      </c>
      <c r="AU4" s="103">
        <f t="shared" ref="AU4:AU35" si="27">IF(AND(Vout6&lt;&gt;0,Iout6&lt;&gt;0,Ns6_FlyB&lt;&gt;0),SQRT((AT4^2)-(Iout6^2)),0)</f>
        <v>0</v>
      </c>
      <c r="AV4" s="143">
        <f t="shared" ref="AV4:AV35" si="28">(((L4-VoutPri_FB)*Q4)/(2*Np_T_FB*(Ae_FB/100)*Fsw))*(10^4)</f>
        <v>1.4223132502702397E-2</v>
      </c>
      <c r="AW4" s="143">
        <f>CM_3F35*(Fsw^x_3F35)*(AV4^y_3F35)*(TC_3F35)</f>
        <v>0</v>
      </c>
      <c r="AX4" s="154">
        <f t="shared" ref="AX4:AX35" si="29">AW4*(Ve_FB/1000)</f>
        <v>0</v>
      </c>
      <c r="AY4" s="155">
        <v>0</v>
      </c>
      <c r="AZ4" s="156">
        <f t="shared" ref="AZ4:AZ35" si="30">CM_3F36*(Fsw^x_3F36)*(AV4^y_3F36)*(TC_3F36)*(Ve_FB/1000)</f>
        <v>0</v>
      </c>
      <c r="BA4" s="157">
        <f t="shared" ref="BA4:BA35" si="31">CM_3C92*(Fsw^x_3C92)*(AV4^y_3C92)*(TC_3C92)/1000</f>
        <v>2.6993919770960741</v>
      </c>
      <c r="BB4" s="158">
        <f t="shared" ref="BB4:BB35" si="32">(Ve_FB/1000)*BA4/1000</f>
        <v>9.9607563954845144E-4</v>
      </c>
      <c r="BC4" s="157">
        <f>(CM_3C96*(Fsw^x_3C96)*(AV4^y_3C96)*(TC_3C96))/1000</f>
        <v>3.7839627351278078</v>
      </c>
      <c r="BD4" s="159">
        <f t="shared" ref="BD4:BD35" si="33">((Ve_FB/1000)*BC4)/1000</f>
        <v>1.3962822492621613E-3</v>
      </c>
      <c r="BE4" s="24">
        <f t="shared" ref="BE4:BE35" si="34">(M4^2)*RdcPri_FB</f>
        <v>5.3355976258964134E-2</v>
      </c>
      <c r="BF4" s="27">
        <f t="shared" ref="BF4:BF35" si="35">(Q4^2)*(RacPri_FB)</f>
        <v>4.3218340769760943E-2</v>
      </c>
      <c r="BG4" s="24">
        <f t="shared" ref="BG4:BG35" si="36">(Iout1^2)*Rdc1_FB</f>
        <v>9.3302103059902303E-2</v>
      </c>
      <c r="BH4" s="61">
        <f t="shared" ref="BH4:BH35" si="37">(AA4^2)*Rac1_FB</f>
        <v>0.11696819230985873</v>
      </c>
      <c r="BI4" s="24">
        <f t="shared" ref="BI4:BI35" si="38">(Iout2^2)*Rdc2_FB</f>
        <v>9.3302103059902303E-2</v>
      </c>
      <c r="BJ4" s="27">
        <f t="shared" ref="BJ4:BJ35" si="39">(AE4^2)*Rac2_FB</f>
        <v>0.11696819230985873</v>
      </c>
      <c r="BK4" s="24">
        <f t="shared" ref="BK4:BK35" si="40">(Iout3^2)*Rdc3_FB</f>
        <v>0</v>
      </c>
      <c r="BL4" s="27">
        <f t="shared" ref="BL4:BL35" si="41">(AI4^2)*Rac3_FB</f>
        <v>0</v>
      </c>
      <c r="BM4" s="24">
        <f t="shared" ref="BM4:BM35" si="42">(Iout4^2)*Rdc4_FB</f>
        <v>0</v>
      </c>
      <c r="BN4" s="27">
        <f t="shared" ref="BN4:BN35" si="43">(AM4^2)*Rac4_FB</f>
        <v>0</v>
      </c>
      <c r="BO4" s="24">
        <f t="shared" ref="BO4:BO35" si="44">(Iout5^2)*Rdc5_FB</f>
        <v>0</v>
      </c>
      <c r="BP4" s="27">
        <f t="shared" ref="BP4:BP35" si="45">(AQ4^2)*Rac5_FB</f>
        <v>0</v>
      </c>
      <c r="BQ4" s="147">
        <f t="shared" ref="BQ4:BQ35" si="46">(Iout6^2)*Rdc6_FB</f>
        <v>0</v>
      </c>
      <c r="BR4" s="27">
        <f t="shared" ref="BR4:BR35" si="47">(AU4^2)*Rac6_FB</f>
        <v>0</v>
      </c>
      <c r="BS4" s="91">
        <f>SUM(BE4:BR4)</f>
        <v>0.5171149077682472</v>
      </c>
      <c r="BT4" s="206">
        <f>AZ4+BS4</f>
        <v>0.5171149077682472</v>
      </c>
      <c r="BU4" s="206">
        <f>BS4+AX4</f>
        <v>0.5171149077682472</v>
      </c>
      <c r="BV4" s="97">
        <f>BS4+BB4</f>
        <v>0.5181109834077956</v>
      </c>
      <c r="BW4" s="123">
        <f>BD4+BS4</f>
        <v>0.51851119001750934</v>
      </c>
      <c r="BX4" s="91">
        <f>(M4^2)*'Fly-Buck_Calc'!$B$80</f>
        <v>2.667276329827771E-2</v>
      </c>
      <c r="BY4" s="92">
        <f t="shared" ref="BY4:BY35" si="48">IF(AND(Vout1&lt;&gt;0,Iout1&lt;&gt;0),(Iout1^2)*$B$81,0)</f>
        <v>5.0000000000000001E-3</v>
      </c>
      <c r="BZ4" s="92">
        <f t="shared" ref="BZ4:BZ35" si="49">IF(AND(Vout2&lt;&gt;0,Iout2&lt;&gt;0),(Iout2^2)*$B$82,0)</f>
        <v>5.0000000000000001E-3</v>
      </c>
      <c r="CA4" s="92">
        <f t="shared" ref="CA4:CA35" si="50">IF(AND(Vout3&lt;&gt;0,Iout3&lt;&gt;0),(Iout3^2)*$B$83,0)</f>
        <v>0</v>
      </c>
      <c r="CB4" s="92">
        <f t="shared" ref="CB4:CB35" si="51">IF(AND(Vout4&lt;&gt;0,Iout4&lt;&gt;0),(Iout4^2)*$B$84,0)</f>
        <v>0</v>
      </c>
      <c r="CC4" s="92">
        <f t="shared" ref="CC4:CC35" si="52">IF(AND(Vout5&lt;&gt;0,Iout5&lt;&gt;0),(Iout5^2)*$B$85,0)</f>
        <v>0</v>
      </c>
      <c r="CD4" s="92">
        <f t="shared" ref="CD4:CD35" si="53">IF(AND(Vout6&lt;&gt;0,Iout6&lt;&gt;0),(Iout6^2)*$B$86,0)</f>
        <v>0</v>
      </c>
      <c r="CE4" s="127">
        <f>SUM(BX4:CD4)</f>
        <v>3.6672763298277705E-2</v>
      </c>
      <c r="CF4" s="91">
        <f>$B$70*(M4^2)</f>
        <v>0.11050144795000764</v>
      </c>
      <c r="CG4" s="92">
        <f t="shared" ref="CG4:CG35" si="54">0.5*L4*R4*Fsw*T_Rise_Fall</f>
        <v>4.5000000000000005E-2</v>
      </c>
      <c r="CH4" s="206">
        <f t="shared" ref="CH4:CH35" si="55">R4*$B$75*1*Fsw</f>
        <v>8.333333333333335E-3</v>
      </c>
      <c r="CI4" s="92">
        <f t="shared" ref="CI4:CI35" si="56">$B$76*Fsw*L4</f>
        <v>5.3999999999999999E-2</v>
      </c>
      <c r="CJ4" s="93">
        <f t="shared" ref="CJ4:CJ35" si="57">$B$71*$B$69*Fsw+$B$73*$B$69*Fsw</f>
        <v>0.09</v>
      </c>
      <c r="CK4" s="92">
        <f t="shared" ref="CK4:CK35" si="58">SUM(CF4:CJ4)</f>
        <v>0.30783478128334096</v>
      </c>
      <c r="CL4" s="188">
        <f t="shared" ref="CL4:CL35" si="59">IF(AND(Vout1&lt;&gt;0,Iout1&lt;&gt;0,Ns1_FlyB&lt;&gt;0),Iout1*Vdiode1,0)</f>
        <v>0.15</v>
      </c>
      <c r="CM4" s="206">
        <f t="shared" ref="CM4:CM35" si="60">IF(AND(Vout2&lt;&gt;0,Iout2&lt;&gt;0,Ns2_FlyB&lt;&gt;0),Iout2*Vdiode2,0)</f>
        <v>0.15</v>
      </c>
      <c r="CN4" s="206">
        <f t="shared" ref="CN4:CN35" si="61">IF(AND(Vout3&lt;&gt;0,Iout3&lt;&gt;0,Ns3_FlyB&lt;&gt;0),Iout3*Vdiode3,0)</f>
        <v>0</v>
      </c>
      <c r="CO4" s="206">
        <f t="shared" ref="CO4:CO35" si="62">IF(AND(Vout4&lt;&gt;0,Iout4&lt;&gt;0,Ns4_FlyB&lt;&gt;0),Iout4*Vdiode4,0)</f>
        <v>0</v>
      </c>
      <c r="CP4" s="206">
        <f t="shared" ref="CP4:CP35" si="63">IF(AND(Vout5&lt;&gt;0,Iout5&lt;&gt;0,Ns5_FlyB&lt;&gt;0),Iout5*Vdiode5,0)</f>
        <v>0</v>
      </c>
      <c r="CQ4" s="227">
        <f t="shared" ref="CQ4:CQ35" si="64">IF(AND(Vout6&lt;&gt;0,Iout6&lt;&gt;0,Ns6_FlyB&lt;&gt;0),Iout6*Vdiode6,0)</f>
        <v>0</v>
      </c>
      <c r="CR4" s="231">
        <f>SUM(CL4:CQ4)</f>
        <v>0.3</v>
      </c>
      <c r="CS4" s="206">
        <f t="shared" ref="CS4:CS35" si="65">CR4+CK4+CE4</f>
        <v>0.64450754458161863</v>
      </c>
      <c r="CT4" s="206">
        <f t="shared" ref="CT4:CT35" si="66">CS4+Pout_FB</f>
        <v>5.6445075445816189</v>
      </c>
      <c r="CU4" s="206">
        <f t="shared" ref="CU4:CU35" si="67">Pout_FB/CT4</f>
        <v>0.88581686896666356</v>
      </c>
      <c r="CV4">
        <f t="shared" ref="CV4:CV35" si="68">L4</f>
        <v>9</v>
      </c>
    </row>
    <row r="5" spans="1:100" x14ac:dyDescent="0.25">
      <c r="A5" s="12" t="s">
        <v>324</v>
      </c>
      <c r="B5" s="12">
        <f>VoutPri_FB</f>
        <v>5</v>
      </c>
      <c r="C5" s="12" t="s">
        <v>5</v>
      </c>
      <c r="K5">
        <v>1</v>
      </c>
      <c r="L5" s="91">
        <f t="shared" si="0"/>
        <v>9.7799999999999994</v>
      </c>
      <c r="M5" s="93">
        <f t="shared" si="1"/>
        <v>0.56805271529197909</v>
      </c>
      <c r="N5" s="122">
        <f t="shared" ref="N5:N54" si="69">IF(VoutPri_FB&gt;0,(VoutPri_FB/(0.9*RR*ILavg_FlyB*Fsw))*(1-(VoutPri_FB/L5)),0)</f>
        <v>4.2693270111566976E-5</v>
      </c>
      <c r="O5" s="97">
        <f t="shared" ref="O5:O54" si="70">IF(VoutPri_FB&gt;0,(VoutPri_FB/(RR*ILavg_FlyB*Fsw))*(1-(VoutPri_FB/L5)),0)</f>
        <v>3.8423943100410281E-5</v>
      </c>
      <c r="P5" s="123">
        <f t="shared" ref="P5:P54" si="71">IF(VoutPri_FB&gt;0,(VoutPri_FB/(1.1*RR*ILavg_FlyB*Fsw))*(1-(VoutPri_FB/L5)),0)</f>
        <v>3.4930857364009343E-5</v>
      </c>
      <c r="Q5" s="127">
        <f t="shared" ref="Q5:Q54" si="72">IF(VoutPri_FB&gt;0,VoutPri_FB/L5,0)</f>
        <v>0.5112474437627812</v>
      </c>
      <c r="R5" s="91">
        <f t="shared" ref="R5:R54" si="73">M5/Q5</f>
        <v>1.1111111111111112</v>
      </c>
      <c r="S5" s="92">
        <f t="shared" si="2"/>
        <v>0.1939494270782614</v>
      </c>
      <c r="T5" s="92">
        <f t="shared" ref="T5:T54" si="74">R5+(0.5*S5)</f>
        <v>1.2080858246502419</v>
      </c>
      <c r="U5" s="92">
        <f t="shared" si="3"/>
        <v>2.3134843584148257</v>
      </c>
      <c r="V5" s="93">
        <f t="shared" ref="V5:V35" si="75">R5*SQRT(Q5)*SQRT(1+((1/3)*(S5/(2*R5))^2))</f>
        <v>0.79546985497810374</v>
      </c>
      <c r="W5" s="92">
        <f t="shared" ref="W5:W54" si="76">SQRT((V5^2)-(M5^2))</f>
        <v>0.55685581870740575</v>
      </c>
      <c r="X5" s="117">
        <f t="shared" si="4"/>
        <v>1.0230125523012552</v>
      </c>
      <c r="Y5" s="103">
        <f t="shared" si="5"/>
        <v>0.17261429964245409</v>
      </c>
      <c r="Z5" s="103">
        <f t="shared" si="6"/>
        <v>0.71604457709279323</v>
      </c>
      <c r="AA5" s="118">
        <f t="shared" si="7"/>
        <v>0.51256203174249759</v>
      </c>
      <c r="AB5" s="117">
        <f t="shared" si="8"/>
        <v>1.0230125523012552</v>
      </c>
      <c r="AC5" s="103">
        <f t="shared" si="9"/>
        <v>0.17261429964245409</v>
      </c>
      <c r="AD5" s="103">
        <f t="shared" si="10"/>
        <v>0.71604457709279323</v>
      </c>
      <c r="AE5" s="118">
        <f t="shared" si="11"/>
        <v>0.51256203174249759</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21">
        <f t="shared" si="28"/>
        <v>1.5641082828892049E-2</v>
      </c>
      <c r="AW5" s="21">
        <f t="shared" ref="AW5:AW54" si="77">CM_3F35*(Fsw^x_3F35)*(AV5^y_3F35)*(TC_3F35)</f>
        <v>0</v>
      </c>
      <c r="AX5" s="139">
        <f t="shared" si="29"/>
        <v>0</v>
      </c>
      <c r="AY5" s="140">
        <v>1</v>
      </c>
      <c r="AZ5" s="141">
        <f t="shared" si="30"/>
        <v>0</v>
      </c>
      <c r="BA5" s="19">
        <f t="shared" si="31"/>
        <v>3.4757481654469378</v>
      </c>
      <c r="BB5" s="142">
        <f t="shared" si="32"/>
        <v>1.2825510730499201E-3</v>
      </c>
      <c r="BC5" s="19">
        <f t="shared" ref="BC5:BC54" si="78">(CM_3C96*(Fsw^x_3C96)*(AV5^y_3C96)*(TC_3C96))/1000</f>
        <v>4.7805172343199045</v>
      </c>
      <c r="BD5" s="79">
        <f t="shared" si="33"/>
        <v>1.7640108594640447E-3</v>
      </c>
      <c r="BE5" s="144">
        <f t="shared" si="34"/>
        <v>4.5184593542349834E-2</v>
      </c>
      <c r="BF5" s="148">
        <f t="shared" si="35"/>
        <v>3.6599520769303368E-2</v>
      </c>
      <c r="BG5" s="144">
        <f t="shared" si="36"/>
        <v>9.3302103059902303E-2</v>
      </c>
      <c r="BH5" s="152">
        <f t="shared" si="37"/>
        <v>9.8049253000721467E-2</v>
      </c>
      <c r="BI5" s="28">
        <f t="shared" si="38"/>
        <v>9.3302103059902303E-2</v>
      </c>
      <c r="BJ5" s="29">
        <f t="shared" si="39"/>
        <v>9.8049253000721467E-2</v>
      </c>
      <c r="BK5" s="28">
        <f t="shared" si="40"/>
        <v>0</v>
      </c>
      <c r="BL5" s="29">
        <f t="shared" si="41"/>
        <v>0</v>
      </c>
      <c r="BM5" s="28">
        <f t="shared" si="42"/>
        <v>0</v>
      </c>
      <c r="BN5" s="29">
        <f t="shared" si="43"/>
        <v>0</v>
      </c>
      <c r="BO5" s="28">
        <f t="shared" si="44"/>
        <v>0</v>
      </c>
      <c r="BP5" s="29">
        <f t="shared" si="45"/>
        <v>0</v>
      </c>
      <c r="BQ5" s="150">
        <f t="shared" si="46"/>
        <v>0</v>
      </c>
      <c r="BR5" s="29">
        <f t="shared" si="47"/>
        <v>0</v>
      </c>
      <c r="BS5" s="91">
        <f t="shared" ref="BS5:BS54" si="79">SUM(BE5:BR5)</f>
        <v>0.46448682643290079</v>
      </c>
      <c r="BT5" s="206">
        <f t="shared" ref="BT5:BT54" si="80">AZ5+BS5</f>
        <v>0.46448682643290079</v>
      </c>
      <c r="BU5" s="206">
        <f t="shared" ref="BU5:BU54" si="81">BS5+AX5</f>
        <v>0.46448682643290079</v>
      </c>
      <c r="BV5" s="97">
        <f t="shared" ref="BV5:BV54" si="82">BS5+BB5</f>
        <v>0.46576937750595071</v>
      </c>
      <c r="BW5" s="123">
        <f t="shared" ref="BW5:BW54" si="83">BD5+BS5</f>
        <v>0.46625083729236483</v>
      </c>
      <c r="BX5" s="91">
        <f>(M5^2)*'Fly-Buck_Calc'!$B$80</f>
        <v>2.2587872114541323E-2</v>
      </c>
      <c r="BY5" s="92">
        <f t="shared" si="48"/>
        <v>5.0000000000000001E-3</v>
      </c>
      <c r="BZ5" s="92">
        <f t="shared" si="49"/>
        <v>5.0000000000000001E-3</v>
      </c>
      <c r="CA5" s="92">
        <f t="shared" si="50"/>
        <v>0</v>
      </c>
      <c r="CB5" s="92">
        <f t="shared" si="51"/>
        <v>0</v>
      </c>
      <c r="CC5" s="92">
        <f t="shared" si="52"/>
        <v>0</v>
      </c>
      <c r="CD5" s="92">
        <f t="shared" si="53"/>
        <v>0</v>
      </c>
      <c r="CE5" s="127">
        <f t="shared" ref="CE5:CE54" si="84">SUM(BX5:CD5)</f>
        <v>3.2587872114541325E-2</v>
      </c>
      <c r="CF5" s="91">
        <f t="shared" ref="CF5:CF54" si="85">$B$70*(M5^2)</f>
        <v>9.3578327331671179E-2</v>
      </c>
      <c r="CG5" s="92">
        <f t="shared" si="54"/>
        <v>4.8900000000000006E-2</v>
      </c>
      <c r="CH5" s="206">
        <f t="shared" si="55"/>
        <v>8.333333333333335E-3</v>
      </c>
      <c r="CI5" s="92">
        <f t="shared" si="56"/>
        <v>5.8679999999999996E-2</v>
      </c>
      <c r="CJ5" s="93">
        <f t="shared" si="57"/>
        <v>0.09</v>
      </c>
      <c r="CK5" s="92">
        <f t="shared" si="58"/>
        <v>0.29949166066500454</v>
      </c>
      <c r="CL5" s="188">
        <f t="shared" si="59"/>
        <v>0.15</v>
      </c>
      <c r="CM5" s="206">
        <f t="shared" si="60"/>
        <v>0.15</v>
      </c>
      <c r="CN5" s="206">
        <f t="shared" si="61"/>
        <v>0</v>
      </c>
      <c r="CO5" s="206">
        <f t="shared" si="62"/>
        <v>0</v>
      </c>
      <c r="CP5" s="206">
        <f t="shared" si="63"/>
        <v>0</v>
      </c>
      <c r="CQ5" s="227">
        <f t="shared" si="64"/>
        <v>0</v>
      </c>
      <c r="CR5" s="231">
        <f t="shared" ref="CR5:CR54" si="86">SUM(CL5:CQ5)</f>
        <v>0.3</v>
      </c>
      <c r="CS5" s="206">
        <f t="shared" si="65"/>
        <v>0.63207953277954576</v>
      </c>
      <c r="CT5" s="206">
        <f t="shared" si="66"/>
        <v>5.6320795327795459</v>
      </c>
      <c r="CU5" s="206">
        <f t="shared" si="67"/>
        <v>0.88777155416560649</v>
      </c>
      <c r="CV5">
        <f t="shared" si="68"/>
        <v>9.7799999999999994</v>
      </c>
    </row>
    <row r="6" spans="1:100" x14ac:dyDescent="0.25">
      <c r="A6" s="310" t="s">
        <v>291</v>
      </c>
      <c r="B6" s="310"/>
      <c r="C6" s="12"/>
      <c r="K6">
        <v>2</v>
      </c>
      <c r="L6" s="91">
        <f t="shared" si="0"/>
        <v>10.56</v>
      </c>
      <c r="M6" s="93">
        <f t="shared" si="1"/>
        <v>0.52609427609427606</v>
      </c>
      <c r="N6" s="122">
        <f t="shared" si="69"/>
        <v>4.5991889545348671E-5</v>
      </c>
      <c r="O6" s="97">
        <f t="shared" si="70"/>
        <v>4.1392700590813803E-5</v>
      </c>
      <c r="P6" s="123">
        <f t="shared" si="71"/>
        <v>3.7629727809830722E-5</v>
      </c>
      <c r="Q6" s="127">
        <f t="shared" si="72"/>
        <v>0.47348484848484845</v>
      </c>
      <c r="R6" s="91">
        <f t="shared" si="73"/>
        <v>1.1111111111111112</v>
      </c>
      <c r="S6" s="92">
        <f t="shared" si="2"/>
        <v>0.20893458393458395</v>
      </c>
      <c r="T6" s="92">
        <f t="shared" si="74"/>
        <v>1.2155784030784031</v>
      </c>
      <c r="U6" s="92">
        <f t="shared" si="3"/>
        <v>2.2288482575990267</v>
      </c>
      <c r="V6" s="93">
        <f t="shared" si="75"/>
        <v>0.76568377364543161</v>
      </c>
      <c r="W6" s="92">
        <f t="shared" si="76"/>
        <v>0.5563240547421513</v>
      </c>
      <c r="X6" s="117">
        <f t="shared" si="4"/>
        <v>0.94964028776978404</v>
      </c>
      <c r="Y6" s="103">
        <f t="shared" si="5"/>
        <v>0.18595103589763612</v>
      </c>
      <c r="Z6" s="103">
        <f t="shared" si="6"/>
        <v>0.69017192639320513</v>
      </c>
      <c r="AA6" s="118">
        <f t="shared" si="7"/>
        <v>0.475749186001729</v>
      </c>
      <c r="AB6" s="117">
        <f t="shared" si="8"/>
        <v>0.94964028776978404</v>
      </c>
      <c r="AC6" s="103">
        <f t="shared" si="9"/>
        <v>0.18595103589763612</v>
      </c>
      <c r="AD6" s="103">
        <f t="shared" si="10"/>
        <v>0.69017192639320513</v>
      </c>
      <c r="AE6" s="118">
        <f t="shared" si="11"/>
        <v>0.475749186001729</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21">
        <f t="shared" si="28"/>
        <v>1.6849563220530963E-2</v>
      </c>
      <c r="AW6" s="21">
        <f t="shared" si="77"/>
        <v>0</v>
      </c>
      <c r="AX6" s="139">
        <f t="shared" si="29"/>
        <v>0</v>
      </c>
      <c r="AY6" s="140">
        <v>2</v>
      </c>
      <c r="AZ6" s="141">
        <f t="shared" si="30"/>
        <v>0</v>
      </c>
      <c r="BA6" s="19">
        <f t="shared" si="31"/>
        <v>4.2366674307194208</v>
      </c>
      <c r="BB6" s="142">
        <f t="shared" si="32"/>
        <v>1.5633302819354662E-3</v>
      </c>
      <c r="BC6" s="19">
        <f t="shared" si="78"/>
        <v>5.740987401956251</v>
      </c>
      <c r="BD6" s="79">
        <f t="shared" si="33"/>
        <v>2.1184243513218564E-3</v>
      </c>
      <c r="BE6" s="144">
        <f t="shared" si="34"/>
        <v>3.8756116536243945E-2</v>
      </c>
      <c r="BF6" s="148">
        <f t="shared" si="35"/>
        <v>3.1392454394357595E-2</v>
      </c>
      <c r="BG6" s="144">
        <f t="shared" si="36"/>
        <v>9.3302103059902303E-2</v>
      </c>
      <c r="BH6" s="152">
        <f t="shared" si="37"/>
        <v>8.4470979878123048E-2</v>
      </c>
      <c r="BI6" s="28">
        <f t="shared" si="38"/>
        <v>9.3302103059902303E-2</v>
      </c>
      <c r="BJ6" s="29">
        <f t="shared" si="39"/>
        <v>8.4470979878123048E-2</v>
      </c>
      <c r="BK6" s="28">
        <f t="shared" si="40"/>
        <v>0</v>
      </c>
      <c r="BL6" s="29">
        <f t="shared" si="41"/>
        <v>0</v>
      </c>
      <c r="BM6" s="28">
        <f t="shared" si="42"/>
        <v>0</v>
      </c>
      <c r="BN6" s="29">
        <f t="shared" si="43"/>
        <v>0</v>
      </c>
      <c r="BO6" s="28">
        <f t="shared" si="44"/>
        <v>0</v>
      </c>
      <c r="BP6" s="29">
        <f t="shared" si="45"/>
        <v>0</v>
      </c>
      <c r="BQ6" s="150">
        <f t="shared" si="46"/>
        <v>0</v>
      </c>
      <c r="BR6" s="29">
        <f t="shared" si="47"/>
        <v>0</v>
      </c>
      <c r="BS6" s="91">
        <f t="shared" si="79"/>
        <v>0.42569473680665226</v>
      </c>
      <c r="BT6" s="206">
        <f t="shared" si="80"/>
        <v>0.42569473680665226</v>
      </c>
      <c r="BU6" s="206">
        <f t="shared" si="81"/>
        <v>0.42569473680665226</v>
      </c>
      <c r="BV6" s="97">
        <f t="shared" si="82"/>
        <v>0.42725806708858771</v>
      </c>
      <c r="BW6" s="123">
        <f t="shared" si="83"/>
        <v>0.42781316115797413</v>
      </c>
      <c r="BX6" s="91">
        <f>(M6^2)*'Fly-Buck_Calc'!$B$80</f>
        <v>1.9374263113741227E-2</v>
      </c>
      <c r="BY6" s="92">
        <f t="shared" si="48"/>
        <v>5.0000000000000001E-3</v>
      </c>
      <c r="BZ6" s="92">
        <f t="shared" si="49"/>
        <v>5.0000000000000001E-3</v>
      </c>
      <c r="CA6" s="92">
        <f t="shared" si="50"/>
        <v>0</v>
      </c>
      <c r="CB6" s="92">
        <f t="shared" si="51"/>
        <v>0</v>
      </c>
      <c r="CC6" s="92">
        <f t="shared" si="52"/>
        <v>0</v>
      </c>
      <c r="CD6" s="92">
        <f t="shared" si="53"/>
        <v>0</v>
      </c>
      <c r="CE6" s="127">
        <f t="shared" si="84"/>
        <v>2.9374263113741229E-2</v>
      </c>
      <c r="CF6" s="91">
        <f t="shared" si="85"/>
        <v>8.026480432835649E-2</v>
      </c>
      <c r="CG6" s="92">
        <f t="shared" si="54"/>
        <v>5.2800000000000014E-2</v>
      </c>
      <c r="CH6" s="206">
        <f t="shared" si="55"/>
        <v>8.333333333333335E-3</v>
      </c>
      <c r="CI6" s="92">
        <f t="shared" si="56"/>
        <v>6.336E-2</v>
      </c>
      <c r="CJ6" s="93">
        <f t="shared" si="57"/>
        <v>0.09</v>
      </c>
      <c r="CK6" s="92">
        <f t="shared" si="58"/>
        <v>0.29475813766168979</v>
      </c>
      <c r="CL6" s="188">
        <f t="shared" si="59"/>
        <v>0.15</v>
      </c>
      <c r="CM6" s="206">
        <f t="shared" si="60"/>
        <v>0.15</v>
      </c>
      <c r="CN6" s="206">
        <f t="shared" si="61"/>
        <v>0</v>
      </c>
      <c r="CO6" s="206">
        <f t="shared" si="62"/>
        <v>0</v>
      </c>
      <c r="CP6" s="206">
        <f t="shared" si="63"/>
        <v>0</v>
      </c>
      <c r="CQ6" s="227">
        <f t="shared" si="64"/>
        <v>0</v>
      </c>
      <c r="CR6" s="231">
        <f t="shared" si="86"/>
        <v>0.3</v>
      </c>
      <c r="CS6" s="206">
        <f t="shared" si="65"/>
        <v>0.62413240077543097</v>
      </c>
      <c r="CT6" s="206">
        <f t="shared" si="66"/>
        <v>5.624132400775431</v>
      </c>
      <c r="CU6" s="206">
        <f t="shared" si="67"/>
        <v>0.88902601213844501</v>
      </c>
      <c r="CV6">
        <f t="shared" si="68"/>
        <v>10.56</v>
      </c>
    </row>
    <row r="7" spans="1:100" x14ac:dyDescent="0.25">
      <c r="A7" s="12" t="s">
        <v>292</v>
      </c>
      <c r="B7" s="6">
        <f>VoutPri_FB/VinMax</f>
        <v>0.10416666666666667</v>
      </c>
      <c r="C7" s="12"/>
      <c r="K7">
        <v>3</v>
      </c>
      <c r="L7" s="91">
        <f t="shared" si="0"/>
        <v>11.34</v>
      </c>
      <c r="M7" s="93">
        <f t="shared" si="1"/>
        <v>0.48990789731530476</v>
      </c>
      <c r="N7" s="122">
        <f t="shared" si="69"/>
        <v>4.8836730644324392E-5</v>
      </c>
      <c r="O7" s="97">
        <f t="shared" si="70"/>
        <v>4.3953057579891949E-5</v>
      </c>
      <c r="P7" s="123">
        <f t="shared" si="71"/>
        <v>3.9957325072629043E-5</v>
      </c>
      <c r="Q7" s="127">
        <f t="shared" si="72"/>
        <v>0.44091710758377428</v>
      </c>
      <c r="R7" s="91">
        <f t="shared" si="73"/>
        <v>1.1111111111111112</v>
      </c>
      <c r="S7" s="92">
        <f t="shared" si="2"/>
        <v>0.22185829064135945</v>
      </c>
      <c r="T7" s="92">
        <f t="shared" si="74"/>
        <v>1.2220402564317909</v>
      </c>
      <c r="U7" s="92">
        <f t="shared" si="3"/>
        <v>2.1595423950447872</v>
      </c>
      <c r="V7" s="93">
        <f t="shared" si="75"/>
        <v>0.73902005628388834</v>
      </c>
      <c r="W7" s="92">
        <f t="shared" si="76"/>
        <v>0.55330000518519629</v>
      </c>
      <c r="X7" s="117">
        <f t="shared" si="4"/>
        <v>0.8943217665615143</v>
      </c>
      <c r="Y7" s="103">
        <f t="shared" si="5"/>
        <v>0.19745308885845439</v>
      </c>
      <c r="Z7" s="103">
        <f t="shared" si="6"/>
        <v>0.67005770696268807</v>
      </c>
      <c r="AA7" s="118">
        <f t="shared" si="7"/>
        <v>0.44606875104640042</v>
      </c>
      <c r="AB7" s="117">
        <f t="shared" si="8"/>
        <v>0.8943217665615143</v>
      </c>
      <c r="AC7" s="103">
        <f t="shared" si="9"/>
        <v>0.19745308885845439</v>
      </c>
      <c r="AD7" s="103">
        <f t="shared" si="10"/>
        <v>0.67005770696268807</v>
      </c>
      <c r="AE7" s="118">
        <f t="shared" si="11"/>
        <v>0.44606875104640042</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21">
        <f t="shared" si="28"/>
        <v>1.7891797632367697E-2</v>
      </c>
      <c r="AW7" s="21">
        <f t="shared" si="77"/>
        <v>0</v>
      </c>
      <c r="AX7" s="139">
        <f t="shared" si="29"/>
        <v>0</v>
      </c>
      <c r="AY7" s="140">
        <v>3</v>
      </c>
      <c r="AZ7" s="141">
        <f t="shared" si="30"/>
        <v>0</v>
      </c>
      <c r="BA7" s="19">
        <f t="shared" si="31"/>
        <v>4.9700201762872842</v>
      </c>
      <c r="BB7" s="142">
        <f t="shared" si="32"/>
        <v>1.8339374450500078E-3</v>
      </c>
      <c r="BC7" s="19">
        <f t="shared" si="78"/>
        <v>6.6543755223937042</v>
      </c>
      <c r="BD7" s="79">
        <f t="shared" si="33"/>
        <v>2.455464567763277E-3</v>
      </c>
      <c r="BE7" s="144">
        <f t="shared" si="34"/>
        <v>3.3607946749158554E-2</v>
      </c>
      <c r="BF7" s="148">
        <f t="shared" si="35"/>
        <v>2.7222436866818432E-2</v>
      </c>
      <c r="BG7" s="144">
        <f t="shared" si="36"/>
        <v>9.3302103059902303E-2</v>
      </c>
      <c r="BH7" s="152">
        <f t="shared" si="37"/>
        <v>7.4260013647329981E-2</v>
      </c>
      <c r="BI7" s="28">
        <f t="shared" si="38"/>
        <v>9.3302103059902303E-2</v>
      </c>
      <c r="BJ7" s="29">
        <f t="shared" si="39"/>
        <v>7.4260013647329981E-2</v>
      </c>
      <c r="BK7" s="28">
        <f t="shared" si="40"/>
        <v>0</v>
      </c>
      <c r="BL7" s="29">
        <f t="shared" si="41"/>
        <v>0</v>
      </c>
      <c r="BM7" s="28">
        <f t="shared" si="42"/>
        <v>0</v>
      </c>
      <c r="BN7" s="29">
        <f t="shared" si="43"/>
        <v>0</v>
      </c>
      <c r="BO7" s="28">
        <f t="shared" si="44"/>
        <v>0</v>
      </c>
      <c r="BP7" s="29">
        <f t="shared" si="45"/>
        <v>0</v>
      </c>
      <c r="BQ7" s="150">
        <f t="shared" si="46"/>
        <v>0</v>
      </c>
      <c r="BR7" s="29">
        <f t="shared" si="47"/>
        <v>0</v>
      </c>
      <c r="BS7" s="91">
        <f t="shared" si="79"/>
        <v>0.39595461703044155</v>
      </c>
      <c r="BT7" s="206">
        <f t="shared" si="80"/>
        <v>0.39595461703044155</v>
      </c>
      <c r="BU7" s="206">
        <f t="shared" si="81"/>
        <v>0.39595461703044155</v>
      </c>
      <c r="BV7" s="97">
        <f t="shared" si="82"/>
        <v>0.39778855447549155</v>
      </c>
      <c r="BW7" s="123">
        <f t="shared" si="83"/>
        <v>0.39841008159820485</v>
      </c>
      <c r="BX7" s="91">
        <f>(M7^2)*'Fly-Buck_Calc'!$B$80</f>
        <v>1.6800682349633226E-2</v>
      </c>
      <c r="BY7" s="92">
        <f t="shared" si="48"/>
        <v>5.0000000000000001E-3</v>
      </c>
      <c r="BZ7" s="92">
        <f t="shared" si="49"/>
        <v>5.0000000000000001E-3</v>
      </c>
      <c r="CA7" s="92">
        <f t="shared" si="50"/>
        <v>0</v>
      </c>
      <c r="CB7" s="92">
        <f t="shared" si="51"/>
        <v>0</v>
      </c>
      <c r="CC7" s="92">
        <f t="shared" si="52"/>
        <v>0</v>
      </c>
      <c r="CD7" s="92">
        <f t="shared" si="53"/>
        <v>0</v>
      </c>
      <c r="CE7" s="127">
        <f t="shared" si="84"/>
        <v>2.6800682349633228E-2</v>
      </c>
      <c r="CF7" s="91">
        <f t="shared" si="85"/>
        <v>6.9602826877051924E-2</v>
      </c>
      <c r="CG7" s="92">
        <f t="shared" si="54"/>
        <v>5.6700000000000007E-2</v>
      </c>
      <c r="CH7" s="206">
        <f t="shared" si="55"/>
        <v>8.333333333333335E-3</v>
      </c>
      <c r="CI7" s="92">
        <f t="shared" si="56"/>
        <v>6.8040000000000003E-2</v>
      </c>
      <c r="CJ7" s="93">
        <f t="shared" si="57"/>
        <v>0.09</v>
      </c>
      <c r="CK7" s="92">
        <f t="shared" si="58"/>
        <v>0.29267616021038523</v>
      </c>
      <c r="CL7" s="188">
        <f t="shared" si="59"/>
        <v>0.15</v>
      </c>
      <c r="CM7" s="206">
        <f t="shared" si="60"/>
        <v>0.15</v>
      </c>
      <c r="CN7" s="206">
        <f t="shared" si="61"/>
        <v>0</v>
      </c>
      <c r="CO7" s="206">
        <f t="shared" si="62"/>
        <v>0</v>
      </c>
      <c r="CP7" s="206">
        <f t="shared" si="63"/>
        <v>0</v>
      </c>
      <c r="CQ7" s="227">
        <f t="shared" si="64"/>
        <v>0</v>
      </c>
      <c r="CR7" s="231">
        <f t="shared" si="86"/>
        <v>0.3</v>
      </c>
      <c r="CS7" s="206">
        <f t="shared" si="65"/>
        <v>0.61947684256001834</v>
      </c>
      <c r="CT7" s="206">
        <f t="shared" si="66"/>
        <v>5.6194768425600188</v>
      </c>
      <c r="CU7" s="206">
        <f t="shared" si="67"/>
        <v>0.8897625419739591</v>
      </c>
      <c r="CV7">
        <f t="shared" si="68"/>
        <v>11.34</v>
      </c>
    </row>
    <row r="8" spans="1:100" x14ac:dyDescent="0.25">
      <c r="A8" s="12" t="s">
        <v>295</v>
      </c>
      <c r="B8" s="19">
        <f>B7/Fsw</f>
        <v>3.4722222222222224E-7</v>
      </c>
      <c r="C8" s="12" t="s">
        <v>320</v>
      </c>
      <c r="K8">
        <v>4</v>
      </c>
      <c r="L8" s="91">
        <f t="shared" si="0"/>
        <v>12.120000000000001</v>
      </c>
      <c r="M8" s="93">
        <f t="shared" si="1"/>
        <v>0.45837917125045835</v>
      </c>
      <c r="N8" s="122">
        <f t="shared" si="69"/>
        <v>5.1315404077095337E-5</v>
      </c>
      <c r="O8" s="97">
        <f t="shared" si="70"/>
        <v>4.6183863669385807E-5</v>
      </c>
      <c r="P8" s="123">
        <f t="shared" si="71"/>
        <v>4.198533060853254E-5</v>
      </c>
      <c r="Q8" s="127">
        <f t="shared" si="72"/>
        <v>0.41254125412541248</v>
      </c>
      <c r="R8" s="91">
        <f t="shared" si="73"/>
        <v>1.1111111111111112</v>
      </c>
      <c r="S8" s="92">
        <f t="shared" si="2"/>
        <v>0.23311854995023312</v>
      </c>
      <c r="T8" s="92">
        <f t="shared" si="74"/>
        <v>1.2276703860862277</v>
      </c>
      <c r="U8" s="92">
        <f t="shared" si="3"/>
        <v>2.1013714332064208</v>
      </c>
      <c r="V8" s="93">
        <f t="shared" si="75"/>
        <v>0.71496745449389698</v>
      </c>
      <c r="W8" s="92">
        <f t="shared" si="76"/>
        <v>0.5486957229186552</v>
      </c>
      <c r="X8" s="117">
        <f t="shared" si="4"/>
        <v>0.851123595505618</v>
      </c>
      <c r="Y8" s="103">
        <f t="shared" si="5"/>
        <v>0.20747467955698926</v>
      </c>
      <c r="Z8" s="103">
        <f t="shared" si="6"/>
        <v>0.65396414090213384</v>
      </c>
      <c r="AA8" s="118">
        <f t="shared" si="7"/>
        <v>0.42150812279939037</v>
      </c>
      <c r="AB8" s="117">
        <f t="shared" si="8"/>
        <v>0.851123595505618</v>
      </c>
      <c r="AC8" s="103">
        <f t="shared" si="9"/>
        <v>0.20747467955698926</v>
      </c>
      <c r="AD8" s="103">
        <f t="shared" si="10"/>
        <v>0.65396414090213384</v>
      </c>
      <c r="AE8" s="118">
        <f t="shared" si="11"/>
        <v>0.42150812279939037</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21">
        <f t="shared" si="28"/>
        <v>1.8799883060502669E-2</v>
      </c>
      <c r="AW8" s="21">
        <f t="shared" si="77"/>
        <v>0</v>
      </c>
      <c r="AX8" s="139">
        <f t="shared" si="29"/>
        <v>0</v>
      </c>
      <c r="AY8" s="140">
        <v>4</v>
      </c>
      <c r="AZ8" s="141">
        <f t="shared" si="30"/>
        <v>0</v>
      </c>
      <c r="BA8" s="19">
        <f t="shared" si="31"/>
        <v>5.6695849286686917</v>
      </c>
      <c r="BB8" s="142">
        <f t="shared" si="32"/>
        <v>2.0920768386787475E-3</v>
      </c>
      <c r="BC8" s="19">
        <f t="shared" si="78"/>
        <v>7.5162321400321774</v>
      </c>
      <c r="BD8" s="79">
        <f t="shared" si="33"/>
        <v>2.7734896596718732E-3</v>
      </c>
      <c r="BE8" s="144">
        <f t="shared" si="34"/>
        <v>2.942136716563799E-2</v>
      </c>
      <c r="BF8" s="148">
        <f t="shared" si="35"/>
        <v>2.3831307404166766E-2</v>
      </c>
      <c r="BG8" s="144">
        <f t="shared" si="36"/>
        <v>9.3302103059902303E-2</v>
      </c>
      <c r="BH8" s="152">
        <f t="shared" si="37"/>
        <v>6.6307601814065226E-2</v>
      </c>
      <c r="BI8" s="28">
        <f t="shared" si="38"/>
        <v>9.3302103059902303E-2</v>
      </c>
      <c r="BJ8" s="29">
        <f t="shared" si="39"/>
        <v>6.6307601814065226E-2</v>
      </c>
      <c r="BK8" s="28">
        <f t="shared" si="40"/>
        <v>0</v>
      </c>
      <c r="BL8" s="29">
        <f t="shared" si="41"/>
        <v>0</v>
      </c>
      <c r="BM8" s="28">
        <f t="shared" si="42"/>
        <v>0</v>
      </c>
      <c r="BN8" s="29">
        <f t="shared" si="43"/>
        <v>0</v>
      </c>
      <c r="BO8" s="28">
        <f t="shared" si="44"/>
        <v>0</v>
      </c>
      <c r="BP8" s="29">
        <f t="shared" si="45"/>
        <v>0</v>
      </c>
      <c r="BQ8" s="150">
        <f t="shared" si="46"/>
        <v>0</v>
      </c>
      <c r="BR8" s="29">
        <f t="shared" si="47"/>
        <v>0</v>
      </c>
      <c r="BS8" s="91">
        <f t="shared" si="79"/>
        <v>0.37247208431773982</v>
      </c>
      <c r="BT8" s="206">
        <f t="shared" si="80"/>
        <v>0.37247208431773982</v>
      </c>
      <c r="BU8" s="206">
        <f t="shared" si="81"/>
        <v>0.37247208431773982</v>
      </c>
      <c r="BV8" s="97">
        <f t="shared" si="82"/>
        <v>0.37456416115641855</v>
      </c>
      <c r="BW8" s="123">
        <f t="shared" si="83"/>
        <v>0.37524557397741171</v>
      </c>
      <c r="BX8" s="91">
        <f>(M8^2)*'Fly-Buck_Calc'!$B$80</f>
        <v>1.4707802524537992E-2</v>
      </c>
      <c r="BY8" s="92">
        <f t="shared" si="48"/>
        <v>5.0000000000000001E-3</v>
      </c>
      <c r="BZ8" s="92">
        <f t="shared" si="49"/>
        <v>5.0000000000000001E-3</v>
      </c>
      <c r="CA8" s="92">
        <f t="shared" si="50"/>
        <v>0</v>
      </c>
      <c r="CB8" s="92">
        <f t="shared" si="51"/>
        <v>0</v>
      </c>
      <c r="CC8" s="92">
        <f t="shared" si="52"/>
        <v>0</v>
      </c>
      <c r="CD8" s="92">
        <f t="shared" si="53"/>
        <v>0</v>
      </c>
      <c r="CE8" s="127">
        <f t="shared" si="84"/>
        <v>2.4707802524537994E-2</v>
      </c>
      <c r="CF8" s="91">
        <f t="shared" si="85"/>
        <v>6.0932324744514529E-2</v>
      </c>
      <c r="CG8" s="92">
        <f t="shared" si="54"/>
        <v>6.0600000000000015E-2</v>
      </c>
      <c r="CH8" s="206">
        <f t="shared" si="55"/>
        <v>8.333333333333335E-3</v>
      </c>
      <c r="CI8" s="92">
        <f t="shared" si="56"/>
        <v>7.2720000000000007E-2</v>
      </c>
      <c r="CJ8" s="93">
        <f t="shared" si="57"/>
        <v>0.09</v>
      </c>
      <c r="CK8" s="92">
        <f t="shared" si="58"/>
        <v>0.29258565807784787</v>
      </c>
      <c r="CL8" s="188">
        <f t="shared" si="59"/>
        <v>0.15</v>
      </c>
      <c r="CM8" s="206">
        <f t="shared" si="60"/>
        <v>0.15</v>
      </c>
      <c r="CN8" s="206">
        <f t="shared" si="61"/>
        <v>0</v>
      </c>
      <c r="CO8" s="206">
        <f t="shared" si="62"/>
        <v>0</v>
      </c>
      <c r="CP8" s="206">
        <f t="shared" si="63"/>
        <v>0</v>
      </c>
      <c r="CQ8" s="227">
        <f t="shared" si="64"/>
        <v>0</v>
      </c>
      <c r="CR8" s="231">
        <f t="shared" si="86"/>
        <v>0.3</v>
      </c>
      <c r="CS8" s="206">
        <f t="shared" si="65"/>
        <v>0.61729346060238588</v>
      </c>
      <c r="CT8" s="206">
        <f t="shared" si="66"/>
        <v>5.6172934606023857</v>
      </c>
      <c r="CU8" s="206">
        <f t="shared" si="67"/>
        <v>0.89010838316853957</v>
      </c>
      <c r="CV8">
        <f t="shared" si="68"/>
        <v>12.120000000000001</v>
      </c>
    </row>
    <row r="9" spans="1:100" x14ac:dyDescent="0.25">
      <c r="A9" s="12" t="s">
        <v>293</v>
      </c>
      <c r="B9" s="6">
        <f>VoutPri_FB/VinMin</f>
        <v>0.55555555555555558</v>
      </c>
      <c r="C9" s="12"/>
      <c r="K9">
        <v>5</v>
      </c>
      <c r="L9" s="91">
        <f t="shared" si="0"/>
        <v>12.9</v>
      </c>
      <c r="M9" s="93">
        <f t="shared" si="1"/>
        <v>0.43066322136089574</v>
      </c>
      <c r="N9" s="122">
        <f t="shared" si="69"/>
        <v>5.3494330955205603E-5</v>
      </c>
      <c r="O9" s="97">
        <f t="shared" si="70"/>
        <v>4.8144897859685043E-5</v>
      </c>
      <c r="P9" s="123">
        <f t="shared" si="71"/>
        <v>4.3768088963350031E-5</v>
      </c>
      <c r="Q9" s="127">
        <f t="shared" si="72"/>
        <v>0.38759689922480617</v>
      </c>
      <c r="R9" s="91">
        <f t="shared" si="73"/>
        <v>1.1111111111111112</v>
      </c>
      <c r="S9" s="92">
        <f t="shared" si="2"/>
        <v>0.24301710348221975</v>
      </c>
      <c r="T9" s="92">
        <f t="shared" si="74"/>
        <v>1.232619662852221</v>
      </c>
      <c r="U9" s="92">
        <f t="shared" si="3"/>
        <v>2.0516052643840195</v>
      </c>
      <c r="V9" s="93">
        <f t="shared" si="75"/>
        <v>0.69312497165893505</v>
      </c>
      <c r="W9" s="92">
        <f t="shared" si="76"/>
        <v>0.5430942976171409</v>
      </c>
      <c r="X9" s="117">
        <f t="shared" si="4"/>
        <v>0.81645569620253167</v>
      </c>
      <c r="Y9" s="103">
        <f t="shared" si="5"/>
        <v>0.21628435696174775</v>
      </c>
      <c r="Z9" s="103">
        <f t="shared" si="6"/>
        <v>0.64079259090805862</v>
      </c>
      <c r="AA9" s="118">
        <f t="shared" si="7"/>
        <v>0.40076819305262057</v>
      </c>
      <c r="AB9" s="117">
        <f t="shared" si="8"/>
        <v>0.81645569620253167</v>
      </c>
      <c r="AC9" s="103">
        <f t="shared" si="9"/>
        <v>0.21628435696174775</v>
      </c>
      <c r="AD9" s="103">
        <f t="shared" si="10"/>
        <v>0.64079259090805862</v>
      </c>
      <c r="AE9" s="118">
        <f t="shared" si="11"/>
        <v>0.40076819305262057</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21">
        <f t="shared" si="28"/>
        <v>1.9598153506630623E-2</v>
      </c>
      <c r="AW9" s="21">
        <f t="shared" si="77"/>
        <v>0</v>
      </c>
      <c r="AX9" s="139">
        <f t="shared" si="29"/>
        <v>0</v>
      </c>
      <c r="AY9" s="140">
        <v>5</v>
      </c>
      <c r="AZ9" s="141">
        <f t="shared" si="30"/>
        <v>0</v>
      </c>
      <c r="BA9" s="19">
        <f t="shared" si="31"/>
        <v>6.3327287225321411</v>
      </c>
      <c r="BB9" s="142">
        <f t="shared" si="32"/>
        <v>2.3367768986143601E-3</v>
      </c>
      <c r="BC9" s="19">
        <f t="shared" si="78"/>
        <v>8.3258350518264521</v>
      </c>
      <c r="BD9" s="79">
        <f t="shared" si="33"/>
        <v>3.0722331341239608E-3</v>
      </c>
      <c r="BE9" s="144">
        <f t="shared" si="34"/>
        <v>2.5970999801550949E-2</v>
      </c>
      <c r="BF9" s="148">
        <f t="shared" si="35"/>
        <v>2.1036509839256267E-2</v>
      </c>
      <c r="BG9" s="144">
        <f t="shared" si="36"/>
        <v>9.3302103059902303E-2</v>
      </c>
      <c r="BH9" s="152">
        <f t="shared" si="37"/>
        <v>5.9942923083866589E-2</v>
      </c>
      <c r="BI9" s="28">
        <f t="shared" si="38"/>
        <v>9.3302103059902303E-2</v>
      </c>
      <c r="BJ9" s="29">
        <f t="shared" si="39"/>
        <v>5.9942923083866589E-2</v>
      </c>
      <c r="BK9" s="28">
        <f t="shared" si="40"/>
        <v>0</v>
      </c>
      <c r="BL9" s="29">
        <f t="shared" si="41"/>
        <v>0</v>
      </c>
      <c r="BM9" s="28">
        <f t="shared" si="42"/>
        <v>0</v>
      </c>
      <c r="BN9" s="29">
        <f t="shared" si="43"/>
        <v>0</v>
      </c>
      <c r="BO9" s="28">
        <f t="shared" si="44"/>
        <v>0</v>
      </c>
      <c r="BP9" s="29">
        <f t="shared" si="45"/>
        <v>0</v>
      </c>
      <c r="BQ9" s="150">
        <f t="shared" si="46"/>
        <v>0</v>
      </c>
      <c r="BR9" s="29">
        <f t="shared" si="47"/>
        <v>0</v>
      </c>
      <c r="BS9" s="91">
        <f t="shared" si="79"/>
        <v>0.35349756192834503</v>
      </c>
      <c r="BT9" s="206">
        <f t="shared" si="80"/>
        <v>0.35349756192834503</v>
      </c>
      <c r="BU9" s="206">
        <f t="shared" si="81"/>
        <v>0.35349756192834503</v>
      </c>
      <c r="BV9" s="97">
        <f t="shared" si="82"/>
        <v>0.35583433882695936</v>
      </c>
      <c r="BW9" s="123">
        <f t="shared" si="83"/>
        <v>0.356569795062469</v>
      </c>
      <c r="BX9" s="91">
        <f>(M9^2)*'Fly-Buck_Calc'!$B$80</f>
        <v>1.2982956716306074E-2</v>
      </c>
      <c r="BY9" s="92">
        <f t="shared" si="48"/>
        <v>5.0000000000000001E-3</v>
      </c>
      <c r="BZ9" s="92">
        <f t="shared" si="49"/>
        <v>5.0000000000000001E-3</v>
      </c>
      <c r="CA9" s="92">
        <f t="shared" si="50"/>
        <v>0</v>
      </c>
      <c r="CB9" s="92">
        <f t="shared" si="51"/>
        <v>0</v>
      </c>
      <c r="CC9" s="92">
        <f t="shared" si="52"/>
        <v>0</v>
      </c>
      <c r="CD9" s="92">
        <f t="shared" si="53"/>
        <v>0</v>
      </c>
      <c r="CE9" s="127">
        <f t="shared" si="84"/>
        <v>2.2982956716306076E-2</v>
      </c>
      <c r="CF9" s="91">
        <f t="shared" si="85"/>
        <v>5.3786534967553729E-2</v>
      </c>
      <c r="CG9" s="92">
        <f t="shared" si="54"/>
        <v>6.4500000000000002E-2</v>
      </c>
      <c r="CH9" s="206">
        <f t="shared" si="55"/>
        <v>8.333333333333335E-3</v>
      </c>
      <c r="CI9" s="92">
        <f t="shared" si="56"/>
        <v>7.740000000000001E-2</v>
      </c>
      <c r="CJ9" s="93">
        <f t="shared" si="57"/>
        <v>0.09</v>
      </c>
      <c r="CK9" s="92">
        <f t="shared" si="58"/>
        <v>0.29401986830088711</v>
      </c>
      <c r="CL9" s="188">
        <f t="shared" si="59"/>
        <v>0.15</v>
      </c>
      <c r="CM9" s="206">
        <f t="shared" si="60"/>
        <v>0.15</v>
      </c>
      <c r="CN9" s="206">
        <f t="shared" si="61"/>
        <v>0</v>
      </c>
      <c r="CO9" s="206">
        <f t="shared" si="62"/>
        <v>0</v>
      </c>
      <c r="CP9" s="206">
        <f t="shared" si="63"/>
        <v>0</v>
      </c>
      <c r="CQ9" s="227">
        <f t="shared" si="64"/>
        <v>0</v>
      </c>
      <c r="CR9" s="231">
        <f t="shared" si="86"/>
        <v>0.3</v>
      </c>
      <c r="CS9" s="206">
        <f t="shared" si="65"/>
        <v>0.61700282501719317</v>
      </c>
      <c r="CT9" s="206">
        <f t="shared" si="66"/>
        <v>5.6170028250171935</v>
      </c>
      <c r="CU9" s="206">
        <f t="shared" si="67"/>
        <v>0.89015443925554638</v>
      </c>
      <c r="CV9">
        <f t="shared" si="68"/>
        <v>12.9</v>
      </c>
    </row>
    <row r="10" spans="1:100" x14ac:dyDescent="0.25">
      <c r="A10" s="12" t="s">
        <v>294</v>
      </c>
      <c r="B10" s="19">
        <f>B9/Fsw</f>
        <v>1.8518518518518519E-6</v>
      </c>
      <c r="C10" s="12" t="s">
        <v>320</v>
      </c>
      <c r="K10">
        <v>6</v>
      </c>
      <c r="L10" s="91">
        <f t="shared" si="0"/>
        <v>13.68</v>
      </c>
      <c r="M10" s="93">
        <f t="shared" si="1"/>
        <v>0.40610786224821316</v>
      </c>
      <c r="N10" s="122">
        <f t="shared" si="69"/>
        <v>5.5424783715636635E-5</v>
      </c>
      <c r="O10" s="97">
        <f t="shared" si="70"/>
        <v>4.9882305344072971E-5</v>
      </c>
      <c r="P10" s="123">
        <f t="shared" si="71"/>
        <v>4.5347550312793603E-5</v>
      </c>
      <c r="Q10" s="127">
        <f t="shared" si="72"/>
        <v>0.36549707602339182</v>
      </c>
      <c r="R10" s="91">
        <f t="shared" si="73"/>
        <v>1.1111111111111112</v>
      </c>
      <c r="S10" s="92">
        <f t="shared" si="2"/>
        <v>0.25178687459389215</v>
      </c>
      <c r="T10" s="92">
        <f t="shared" si="74"/>
        <v>1.2370045484080572</v>
      </c>
      <c r="U10" s="92">
        <f t="shared" si="3"/>
        <v>2.0083765483636871</v>
      </c>
      <c r="V10" s="93">
        <f t="shared" si="75"/>
        <v>0.67317300770413457</v>
      </c>
      <c r="W10" s="92">
        <f t="shared" si="76"/>
        <v>0.5368782939564769</v>
      </c>
      <c r="X10" s="117">
        <f t="shared" si="4"/>
        <v>0.78801843317972342</v>
      </c>
      <c r="Y10" s="103">
        <f t="shared" si="5"/>
        <v>0.2240894220308759</v>
      </c>
      <c r="Z10" s="103">
        <f t="shared" si="6"/>
        <v>0.62981299087714737</v>
      </c>
      <c r="AA10" s="118">
        <f t="shared" si="7"/>
        <v>0.3829678883113018</v>
      </c>
      <c r="AB10" s="117">
        <f t="shared" si="8"/>
        <v>0.78801843317972342</v>
      </c>
      <c r="AC10" s="103">
        <f t="shared" si="9"/>
        <v>0.2240894220308759</v>
      </c>
      <c r="AD10" s="103">
        <f t="shared" si="10"/>
        <v>0.62981299087714737</v>
      </c>
      <c r="AE10" s="118">
        <f t="shared" si="11"/>
        <v>0.3829678883113018</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21">
        <f t="shared" si="28"/>
        <v>2.0305393112410655E-2</v>
      </c>
      <c r="AW10" s="21">
        <f t="shared" si="77"/>
        <v>0</v>
      </c>
      <c r="AX10" s="139">
        <f t="shared" si="29"/>
        <v>0</v>
      </c>
      <c r="AY10" s="140">
        <v>6</v>
      </c>
      <c r="AZ10" s="141">
        <f t="shared" si="30"/>
        <v>0</v>
      </c>
      <c r="BA10" s="19">
        <f t="shared" si="31"/>
        <v>6.9589689844051223</v>
      </c>
      <c r="BB10" s="142">
        <f t="shared" si="32"/>
        <v>2.5678595552454898E-3</v>
      </c>
      <c r="BC10" s="19">
        <f t="shared" si="78"/>
        <v>9.0845322227591243</v>
      </c>
      <c r="BD10" s="79">
        <f t="shared" si="33"/>
        <v>3.3521923901981168E-3</v>
      </c>
      <c r="BE10" s="144">
        <f t="shared" si="34"/>
        <v>2.3093826289371591E-2</v>
      </c>
      <c r="BF10" s="148">
        <f t="shared" si="35"/>
        <v>1.8705999294390988E-2</v>
      </c>
      <c r="BG10" s="144">
        <f t="shared" si="36"/>
        <v>9.3302103059902303E-2</v>
      </c>
      <c r="BH10" s="152">
        <f t="shared" si="37"/>
        <v>5.4736389153951126E-2</v>
      </c>
      <c r="BI10" s="28">
        <f t="shared" si="38"/>
        <v>9.3302103059902303E-2</v>
      </c>
      <c r="BJ10" s="29">
        <f t="shared" si="39"/>
        <v>5.4736389153951126E-2</v>
      </c>
      <c r="BK10" s="28">
        <f t="shared" si="40"/>
        <v>0</v>
      </c>
      <c r="BL10" s="29">
        <f t="shared" si="41"/>
        <v>0</v>
      </c>
      <c r="BM10" s="28">
        <f t="shared" si="42"/>
        <v>0</v>
      </c>
      <c r="BN10" s="29">
        <f t="shared" si="43"/>
        <v>0</v>
      </c>
      <c r="BO10" s="28">
        <f t="shared" si="44"/>
        <v>0</v>
      </c>
      <c r="BP10" s="29">
        <f t="shared" si="45"/>
        <v>0</v>
      </c>
      <c r="BQ10" s="150">
        <f t="shared" si="46"/>
        <v>0</v>
      </c>
      <c r="BR10" s="29">
        <f t="shared" si="47"/>
        <v>0</v>
      </c>
      <c r="BS10" s="91">
        <f t="shared" si="79"/>
        <v>0.33787681001146946</v>
      </c>
      <c r="BT10" s="206">
        <f t="shared" si="80"/>
        <v>0.33787681001146946</v>
      </c>
      <c r="BU10" s="206">
        <f t="shared" si="81"/>
        <v>0.33787681001146946</v>
      </c>
      <c r="BV10" s="97">
        <f t="shared" si="82"/>
        <v>0.34044466956671493</v>
      </c>
      <c r="BW10" s="123">
        <f t="shared" si="83"/>
        <v>0.34122900240166759</v>
      </c>
      <c r="BX10" s="91">
        <f>(M10^2)*'Fly-Buck_Calc'!$B$80</f>
        <v>1.1544651704586958E-2</v>
      </c>
      <c r="BY10" s="92">
        <f t="shared" si="48"/>
        <v>5.0000000000000001E-3</v>
      </c>
      <c r="BZ10" s="92">
        <f t="shared" si="49"/>
        <v>5.0000000000000001E-3</v>
      </c>
      <c r="CA10" s="92">
        <f t="shared" si="50"/>
        <v>0</v>
      </c>
      <c r="CB10" s="92">
        <f t="shared" si="51"/>
        <v>0</v>
      </c>
      <c r="CC10" s="92">
        <f t="shared" si="52"/>
        <v>0</v>
      </c>
      <c r="CD10" s="92">
        <f t="shared" si="53"/>
        <v>0</v>
      </c>
      <c r="CE10" s="127">
        <f t="shared" si="84"/>
        <v>2.154465170458696E-2</v>
      </c>
      <c r="CF10" s="91">
        <f t="shared" si="85"/>
        <v>4.7827842776145962E-2</v>
      </c>
      <c r="CG10" s="92">
        <f t="shared" si="54"/>
        <v>6.8400000000000002E-2</v>
      </c>
      <c r="CH10" s="206">
        <f t="shared" si="55"/>
        <v>8.333333333333335E-3</v>
      </c>
      <c r="CI10" s="92">
        <f t="shared" si="56"/>
        <v>8.208E-2</v>
      </c>
      <c r="CJ10" s="93">
        <f t="shared" si="57"/>
        <v>0.09</v>
      </c>
      <c r="CK10" s="92">
        <f t="shared" si="58"/>
        <v>0.29664117610947927</v>
      </c>
      <c r="CL10" s="188">
        <f t="shared" si="59"/>
        <v>0.15</v>
      </c>
      <c r="CM10" s="206">
        <f t="shared" si="60"/>
        <v>0.15</v>
      </c>
      <c r="CN10" s="206">
        <f t="shared" si="61"/>
        <v>0</v>
      </c>
      <c r="CO10" s="206">
        <f t="shared" si="62"/>
        <v>0</v>
      </c>
      <c r="CP10" s="206">
        <f t="shared" si="63"/>
        <v>0</v>
      </c>
      <c r="CQ10" s="227">
        <f t="shared" si="64"/>
        <v>0</v>
      </c>
      <c r="CR10" s="231">
        <f t="shared" si="86"/>
        <v>0.3</v>
      </c>
      <c r="CS10" s="206">
        <f t="shared" si="65"/>
        <v>0.61818582781406617</v>
      </c>
      <c r="CT10" s="206">
        <f t="shared" si="66"/>
        <v>5.6181858278140666</v>
      </c>
      <c r="CU10" s="206">
        <f t="shared" si="67"/>
        <v>0.88996700238115989</v>
      </c>
      <c r="CV10">
        <f t="shared" si="68"/>
        <v>13.68</v>
      </c>
    </row>
    <row r="11" spans="1:100" x14ac:dyDescent="0.25">
      <c r="A11" s="310" t="s">
        <v>290</v>
      </c>
      <c r="B11" s="310"/>
      <c r="C11" s="12"/>
      <c r="K11">
        <v>7</v>
      </c>
      <c r="L11" s="91">
        <f t="shared" si="0"/>
        <v>14.46</v>
      </c>
      <c r="M11" s="93">
        <f t="shared" si="1"/>
        <v>0.38420162901490701</v>
      </c>
      <c r="N11" s="122">
        <f t="shared" si="69"/>
        <v>5.7146971862909124E-5</v>
      </c>
      <c r="O11" s="97">
        <f t="shared" si="70"/>
        <v>5.1432274676618213E-5</v>
      </c>
      <c r="P11" s="123">
        <f t="shared" si="71"/>
        <v>4.6756613342380185E-5</v>
      </c>
      <c r="Q11" s="127">
        <f t="shared" si="72"/>
        <v>0.34578146611341631</v>
      </c>
      <c r="R11" s="91">
        <f t="shared" si="73"/>
        <v>1.1111111111111112</v>
      </c>
      <c r="S11" s="92">
        <f t="shared" si="2"/>
        <v>0.25961052932007295</v>
      </c>
      <c r="T11" s="92">
        <f t="shared" si="74"/>
        <v>1.2409163757711477</v>
      </c>
      <c r="U11" s="92">
        <f t="shared" si="3"/>
        <v>1.9703568447883484</v>
      </c>
      <c r="V11" s="93">
        <f t="shared" si="75"/>
        <v>0.65485324291777891</v>
      </c>
      <c r="W11" s="92">
        <f t="shared" si="76"/>
        <v>0.53030357157219232</v>
      </c>
      <c r="X11" s="117">
        <f t="shared" si="4"/>
        <v>0.76427061310782241</v>
      </c>
      <c r="Y11" s="103">
        <f t="shared" si="5"/>
        <v>0.23105244688507731</v>
      </c>
      <c r="Z11" s="103">
        <f t="shared" si="6"/>
        <v>0.62052056692007995</v>
      </c>
      <c r="AA11" s="118">
        <f t="shared" si="7"/>
        <v>0.36748574662266481</v>
      </c>
      <c r="AB11" s="117">
        <f t="shared" si="8"/>
        <v>0.76427061310782241</v>
      </c>
      <c r="AC11" s="103">
        <f t="shared" si="9"/>
        <v>0.23105244688507731</v>
      </c>
      <c r="AD11" s="103">
        <f t="shared" si="10"/>
        <v>0.62052056692007995</v>
      </c>
      <c r="AE11" s="118">
        <f t="shared" si="11"/>
        <v>0.36748574662266481</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21">
        <f t="shared" si="28"/>
        <v>2.0936333009683301E-2</v>
      </c>
      <c r="AW11" s="21">
        <f t="shared" si="77"/>
        <v>0</v>
      </c>
      <c r="AX11" s="139">
        <f t="shared" si="29"/>
        <v>0</v>
      </c>
      <c r="AY11" s="140">
        <v>7</v>
      </c>
      <c r="AZ11" s="141">
        <f t="shared" si="30"/>
        <v>0</v>
      </c>
      <c r="BA11" s="19">
        <f t="shared" si="31"/>
        <v>7.5490832463501967</v>
      </c>
      <c r="BB11" s="142">
        <f t="shared" si="32"/>
        <v>2.7856117179032224E-3</v>
      </c>
      <c r="BC11" s="19">
        <f t="shared" si="78"/>
        <v>9.7947654400411306</v>
      </c>
      <c r="BD11" s="79">
        <f t="shared" si="33"/>
        <v>3.6142684473751767E-3</v>
      </c>
      <c r="BE11" s="144">
        <f t="shared" si="34"/>
        <v>2.0669572938253344E-2</v>
      </c>
      <c r="BF11" s="148">
        <f t="shared" si="35"/>
        <v>1.674235407998521E-2</v>
      </c>
      <c r="BG11" s="144">
        <f t="shared" si="36"/>
        <v>9.3302103059902303E-2</v>
      </c>
      <c r="BH11" s="152">
        <f t="shared" si="37"/>
        <v>5.0400218883317909E-2</v>
      </c>
      <c r="BI11" s="28">
        <f t="shared" si="38"/>
        <v>9.3302103059902303E-2</v>
      </c>
      <c r="BJ11" s="29">
        <f t="shared" si="39"/>
        <v>5.0400218883317909E-2</v>
      </c>
      <c r="BK11" s="28">
        <f t="shared" si="40"/>
        <v>0</v>
      </c>
      <c r="BL11" s="29">
        <f t="shared" si="41"/>
        <v>0</v>
      </c>
      <c r="BM11" s="28">
        <f t="shared" si="42"/>
        <v>0</v>
      </c>
      <c r="BN11" s="29">
        <f t="shared" si="43"/>
        <v>0</v>
      </c>
      <c r="BO11" s="28">
        <f t="shared" si="44"/>
        <v>0</v>
      </c>
      <c r="BP11" s="29">
        <f t="shared" si="45"/>
        <v>0</v>
      </c>
      <c r="BQ11" s="150">
        <f t="shared" si="46"/>
        <v>0</v>
      </c>
      <c r="BR11" s="29">
        <f t="shared" si="47"/>
        <v>0</v>
      </c>
      <c r="BS11" s="91">
        <f t="shared" si="79"/>
        <v>0.32481657090467897</v>
      </c>
      <c r="BT11" s="206">
        <f t="shared" si="80"/>
        <v>0.32481657090467897</v>
      </c>
      <c r="BU11" s="206">
        <f t="shared" si="81"/>
        <v>0.32481657090467897</v>
      </c>
      <c r="BV11" s="97">
        <f t="shared" si="82"/>
        <v>0.32760218262258217</v>
      </c>
      <c r="BW11" s="123">
        <f t="shared" si="83"/>
        <v>0.32843083935205414</v>
      </c>
      <c r="BX11" s="91">
        <f>(M11^2)*'Fly-Buck_Calc'!$B$80</f>
        <v>1.0332762421639576E-2</v>
      </c>
      <c r="BY11" s="92">
        <f t="shared" si="48"/>
        <v>5.0000000000000001E-3</v>
      </c>
      <c r="BZ11" s="92">
        <f t="shared" si="49"/>
        <v>5.0000000000000001E-3</v>
      </c>
      <c r="CA11" s="92">
        <f t="shared" si="50"/>
        <v>0</v>
      </c>
      <c r="CB11" s="92">
        <f t="shared" si="51"/>
        <v>0</v>
      </c>
      <c r="CC11" s="92">
        <f t="shared" si="52"/>
        <v>0</v>
      </c>
      <c r="CD11" s="92">
        <f t="shared" si="53"/>
        <v>0</v>
      </c>
      <c r="CE11" s="127">
        <f t="shared" si="84"/>
        <v>2.0332762421639578E-2</v>
      </c>
      <c r="CF11" s="91">
        <f t="shared" si="85"/>
        <v>4.2807158603935379E-2</v>
      </c>
      <c r="CG11" s="92">
        <f t="shared" si="54"/>
        <v>7.2300000000000017E-2</v>
      </c>
      <c r="CH11" s="206">
        <f t="shared" si="55"/>
        <v>8.333333333333335E-3</v>
      </c>
      <c r="CI11" s="92">
        <f t="shared" si="56"/>
        <v>8.6760000000000004E-2</v>
      </c>
      <c r="CJ11" s="93">
        <f t="shared" si="57"/>
        <v>0.09</v>
      </c>
      <c r="CK11" s="92">
        <f t="shared" si="58"/>
        <v>0.30020049193726872</v>
      </c>
      <c r="CL11" s="188">
        <f t="shared" si="59"/>
        <v>0.15</v>
      </c>
      <c r="CM11" s="206">
        <f t="shared" si="60"/>
        <v>0.15</v>
      </c>
      <c r="CN11" s="206">
        <f t="shared" si="61"/>
        <v>0</v>
      </c>
      <c r="CO11" s="206">
        <f t="shared" si="62"/>
        <v>0</v>
      </c>
      <c r="CP11" s="206">
        <f t="shared" si="63"/>
        <v>0</v>
      </c>
      <c r="CQ11" s="227">
        <f t="shared" si="64"/>
        <v>0</v>
      </c>
      <c r="CR11" s="231">
        <f t="shared" si="86"/>
        <v>0.3</v>
      </c>
      <c r="CS11" s="206">
        <f t="shared" si="65"/>
        <v>0.62053325435890838</v>
      </c>
      <c r="CT11" s="206">
        <f t="shared" si="66"/>
        <v>5.6205332543589082</v>
      </c>
      <c r="CU11" s="206">
        <f t="shared" si="67"/>
        <v>0.88959530594758707</v>
      </c>
      <c r="CV11">
        <f t="shared" si="68"/>
        <v>14.46</v>
      </c>
    </row>
    <row r="12" spans="1:100" x14ac:dyDescent="0.25">
      <c r="A12" s="12" t="s">
        <v>306</v>
      </c>
      <c r="B12" s="12">
        <f>IF(AND(VoutPri_FB&gt;0,Vout1&lt;&gt;0),((ABS(Vout1)+Vdiode1)/ABS(VoutPri_FB))*Np,0)</f>
        <v>1.06</v>
      </c>
      <c r="C12" s="12"/>
      <c r="K12">
        <v>8</v>
      </c>
      <c r="L12" s="91">
        <f t="shared" si="0"/>
        <v>15.24</v>
      </c>
      <c r="M12" s="93">
        <f t="shared" si="1"/>
        <v>0.36453776611256922</v>
      </c>
      <c r="N12" s="122">
        <f t="shared" si="69"/>
        <v>5.869287303447656E-5</v>
      </c>
      <c r="O12" s="97">
        <f t="shared" si="70"/>
        <v>5.2823585731028904E-5</v>
      </c>
      <c r="P12" s="123">
        <f t="shared" si="71"/>
        <v>4.8021441573662631E-5</v>
      </c>
      <c r="Q12" s="127">
        <f t="shared" si="72"/>
        <v>0.32808398950131235</v>
      </c>
      <c r="R12" s="91">
        <f t="shared" si="73"/>
        <v>1.1111111111111109</v>
      </c>
      <c r="S12" s="92">
        <f t="shared" si="2"/>
        <v>0.26663333749947926</v>
      </c>
      <c r="T12" s="92">
        <f t="shared" si="74"/>
        <v>1.2444277798608505</v>
      </c>
      <c r="U12" s="92">
        <f t="shared" si="3"/>
        <v>1.9365705363959296</v>
      </c>
      <c r="V12" s="93">
        <f t="shared" si="75"/>
        <v>0.63795429131508363</v>
      </c>
      <c r="W12" s="92">
        <f t="shared" si="76"/>
        <v>0.52354359406355877</v>
      </c>
      <c r="X12" s="117">
        <f t="shared" si="4"/>
        <v>0.744140625</v>
      </c>
      <c r="Y12" s="103">
        <f t="shared" si="5"/>
        <v>0.23730272116365184</v>
      </c>
      <c r="Z12" s="103">
        <f t="shared" si="6"/>
        <v>0.61255483258530474</v>
      </c>
      <c r="AA12" s="118">
        <f t="shared" si="7"/>
        <v>0.35386921725916021</v>
      </c>
      <c r="AB12" s="117">
        <f t="shared" si="8"/>
        <v>0.744140625</v>
      </c>
      <c r="AC12" s="103">
        <f t="shared" si="9"/>
        <v>0.23730272116365184</v>
      </c>
      <c r="AD12" s="103">
        <f t="shared" si="10"/>
        <v>0.61255483258530474</v>
      </c>
      <c r="AE12" s="118">
        <f t="shared" si="11"/>
        <v>0.35386921725916021</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21">
        <f t="shared" si="28"/>
        <v>2.1502688508022519E-2</v>
      </c>
      <c r="AW12" s="21">
        <f t="shared" si="77"/>
        <v>0</v>
      </c>
      <c r="AX12" s="139">
        <f t="shared" si="29"/>
        <v>0</v>
      </c>
      <c r="AY12" s="140">
        <v>8</v>
      </c>
      <c r="AZ12" s="141">
        <f t="shared" si="30"/>
        <v>0</v>
      </c>
      <c r="BA12" s="19">
        <f t="shared" si="31"/>
        <v>8.1045577903661972</v>
      </c>
      <c r="BB12" s="142">
        <f t="shared" si="32"/>
        <v>2.9905818246451265E-3</v>
      </c>
      <c r="BC12" s="19">
        <f t="shared" si="78"/>
        <v>10.459495076543892</v>
      </c>
      <c r="BD12" s="79">
        <f t="shared" si="33"/>
        <v>3.859553683244696E-3</v>
      </c>
      <c r="BE12" s="144">
        <f t="shared" si="34"/>
        <v>1.8607933936181605E-2</v>
      </c>
      <c r="BF12" s="148">
        <f t="shared" si="35"/>
        <v>1.5072426488307103E-2</v>
      </c>
      <c r="BG12" s="144">
        <f t="shared" si="36"/>
        <v>9.3302103059902303E-2</v>
      </c>
      <c r="BH12" s="152">
        <f t="shared" si="37"/>
        <v>4.673443484452984E-2</v>
      </c>
      <c r="BI12" s="28">
        <f t="shared" si="38"/>
        <v>9.3302103059902303E-2</v>
      </c>
      <c r="BJ12" s="29">
        <f t="shared" si="39"/>
        <v>4.673443484452984E-2</v>
      </c>
      <c r="BK12" s="28">
        <f t="shared" si="40"/>
        <v>0</v>
      </c>
      <c r="BL12" s="29">
        <f t="shared" si="41"/>
        <v>0</v>
      </c>
      <c r="BM12" s="28">
        <f t="shared" si="42"/>
        <v>0</v>
      </c>
      <c r="BN12" s="29">
        <f t="shared" si="43"/>
        <v>0</v>
      </c>
      <c r="BO12" s="28">
        <f t="shared" si="44"/>
        <v>0</v>
      </c>
      <c r="BP12" s="29">
        <f t="shared" si="45"/>
        <v>0</v>
      </c>
      <c r="BQ12" s="150">
        <f t="shared" si="46"/>
        <v>0</v>
      </c>
      <c r="BR12" s="29">
        <f t="shared" si="47"/>
        <v>0</v>
      </c>
      <c r="BS12" s="91">
        <f t="shared" si="79"/>
        <v>0.313753436233353</v>
      </c>
      <c r="BT12" s="206">
        <f t="shared" si="80"/>
        <v>0.313753436233353</v>
      </c>
      <c r="BU12" s="206">
        <f t="shared" si="81"/>
        <v>0.313753436233353</v>
      </c>
      <c r="BV12" s="97">
        <f t="shared" si="82"/>
        <v>0.31674401805799812</v>
      </c>
      <c r="BW12" s="123">
        <f t="shared" si="83"/>
        <v>0.3176129899165977</v>
      </c>
      <c r="BX12" s="91">
        <f>(M12^2)*'Fly-Buck_Calc'!$B$80</f>
        <v>9.3021448045639554E-3</v>
      </c>
      <c r="BY12" s="92">
        <f t="shared" si="48"/>
        <v>5.0000000000000001E-3</v>
      </c>
      <c r="BZ12" s="92">
        <f t="shared" si="49"/>
        <v>5.0000000000000001E-3</v>
      </c>
      <c r="CA12" s="92">
        <f t="shared" si="50"/>
        <v>0</v>
      </c>
      <c r="CB12" s="92">
        <f t="shared" si="51"/>
        <v>0</v>
      </c>
      <c r="CC12" s="92">
        <f t="shared" si="52"/>
        <v>0</v>
      </c>
      <c r="CD12" s="92">
        <f t="shared" si="53"/>
        <v>0</v>
      </c>
      <c r="CE12" s="127">
        <f t="shared" si="84"/>
        <v>1.9302144804563957E-2</v>
      </c>
      <c r="CF12" s="91">
        <f t="shared" si="85"/>
        <v>3.853745704747924E-2</v>
      </c>
      <c r="CG12" s="92">
        <f t="shared" si="54"/>
        <v>7.619999999999999E-2</v>
      </c>
      <c r="CH12" s="206">
        <f t="shared" si="55"/>
        <v>8.3333333333333332E-3</v>
      </c>
      <c r="CI12" s="92">
        <f t="shared" si="56"/>
        <v>9.1440000000000007E-2</v>
      </c>
      <c r="CJ12" s="93">
        <f t="shared" si="57"/>
        <v>0.09</v>
      </c>
      <c r="CK12" s="92">
        <f t="shared" si="58"/>
        <v>0.30451079038081252</v>
      </c>
      <c r="CL12" s="188">
        <f t="shared" si="59"/>
        <v>0.15</v>
      </c>
      <c r="CM12" s="206">
        <f t="shared" si="60"/>
        <v>0.15</v>
      </c>
      <c r="CN12" s="206">
        <f t="shared" si="61"/>
        <v>0</v>
      </c>
      <c r="CO12" s="206">
        <f t="shared" si="62"/>
        <v>0</v>
      </c>
      <c r="CP12" s="206">
        <f t="shared" si="63"/>
        <v>0</v>
      </c>
      <c r="CQ12" s="227">
        <f t="shared" si="64"/>
        <v>0</v>
      </c>
      <c r="CR12" s="231">
        <f t="shared" si="86"/>
        <v>0.3</v>
      </c>
      <c r="CS12" s="206">
        <f t="shared" si="65"/>
        <v>0.62381293518537639</v>
      </c>
      <c r="CT12" s="206">
        <f t="shared" si="66"/>
        <v>5.6238129351853763</v>
      </c>
      <c r="CU12" s="206">
        <f t="shared" si="67"/>
        <v>0.88907651403507904</v>
      </c>
      <c r="CV12">
        <f t="shared" si="68"/>
        <v>15.24</v>
      </c>
    </row>
    <row r="13" spans="1:100" x14ac:dyDescent="0.25">
      <c r="A13" s="12" t="s">
        <v>307</v>
      </c>
      <c r="B13" s="12">
        <f>IF(n1_FlyB_Calc&lt;&gt;0,n1_FlyB/Np,0)</f>
        <v>1.06</v>
      </c>
      <c r="C13" s="12"/>
      <c r="K13">
        <v>9</v>
      </c>
      <c r="L13" s="91">
        <f t="shared" si="0"/>
        <v>16.02</v>
      </c>
      <c r="M13" s="93">
        <f t="shared" si="1"/>
        <v>0.34678873630184492</v>
      </c>
      <c r="N13" s="122">
        <f t="shared" si="69"/>
        <v>6.0088237013307091E-5</v>
      </c>
      <c r="O13" s="97">
        <f t="shared" si="70"/>
        <v>5.4079413311976381E-5</v>
      </c>
      <c r="P13" s="123">
        <f t="shared" si="71"/>
        <v>4.9163103010887611E-5</v>
      </c>
      <c r="Q13" s="127">
        <f t="shared" si="72"/>
        <v>0.31210986267166041</v>
      </c>
      <c r="R13" s="91">
        <f t="shared" si="73"/>
        <v>1.1111111111111112</v>
      </c>
      <c r="S13" s="92">
        <f t="shared" si="2"/>
        <v>0.27297227671759505</v>
      </c>
      <c r="T13" s="92">
        <f t="shared" si="74"/>
        <v>1.2475972494699086</v>
      </c>
      <c r="U13" s="92">
        <f t="shared" si="3"/>
        <v>1.9062820445990392</v>
      </c>
      <c r="V13" s="93">
        <f t="shared" si="75"/>
        <v>0.62230126206238756</v>
      </c>
      <c r="W13" s="92">
        <f t="shared" si="76"/>
        <v>0.51671697585681264</v>
      </c>
      <c r="X13" s="117">
        <f t="shared" si="4"/>
        <v>0.72686025408348454</v>
      </c>
      <c r="Y13" s="103">
        <f t="shared" si="5"/>
        <v>0.24294435450124161</v>
      </c>
      <c r="Z13" s="103">
        <f t="shared" si="6"/>
        <v>0.60565131251728843</v>
      </c>
      <c r="AA13" s="118">
        <f t="shared" si="7"/>
        <v>0.34177991800852514</v>
      </c>
      <c r="AB13" s="117">
        <f t="shared" si="8"/>
        <v>0.72686025408348454</v>
      </c>
      <c r="AC13" s="103">
        <f t="shared" si="9"/>
        <v>0.24294435450124161</v>
      </c>
      <c r="AD13" s="103">
        <f t="shared" si="10"/>
        <v>0.60565131251728843</v>
      </c>
      <c r="AE13" s="118">
        <f t="shared" si="11"/>
        <v>0.34177991800852514</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21">
        <f t="shared" si="28"/>
        <v>2.2013893283677022E-2</v>
      </c>
      <c r="AW13" s="21">
        <f t="shared" si="77"/>
        <v>0</v>
      </c>
      <c r="AX13" s="139">
        <f t="shared" si="29"/>
        <v>0</v>
      </c>
      <c r="AY13" s="140">
        <v>9</v>
      </c>
      <c r="AZ13" s="141">
        <f t="shared" si="30"/>
        <v>0</v>
      </c>
      <c r="BA13" s="19">
        <f t="shared" si="31"/>
        <v>8.6272465818887198</v>
      </c>
      <c r="BB13" s="142">
        <f t="shared" si="32"/>
        <v>3.1834539887169379E-3</v>
      </c>
      <c r="BC13" s="19">
        <f t="shared" si="78"/>
        <v>11.081863307758958</v>
      </c>
      <c r="BD13" s="79">
        <f t="shared" si="33"/>
        <v>4.0892075605630553E-3</v>
      </c>
      <c r="BE13" s="144">
        <f t="shared" si="34"/>
        <v>1.6840037955739212E-2</v>
      </c>
      <c r="BF13" s="148">
        <f t="shared" si="35"/>
        <v>1.364043074414876E-2</v>
      </c>
      <c r="BG13" s="144">
        <f t="shared" si="36"/>
        <v>9.3302103059902303E-2</v>
      </c>
      <c r="BH13" s="152">
        <f t="shared" si="37"/>
        <v>4.3595785473736284E-2</v>
      </c>
      <c r="BI13" s="28">
        <f t="shared" si="38"/>
        <v>9.3302103059902303E-2</v>
      </c>
      <c r="BJ13" s="29">
        <f t="shared" si="39"/>
        <v>4.3595785473736284E-2</v>
      </c>
      <c r="BK13" s="28">
        <f t="shared" si="40"/>
        <v>0</v>
      </c>
      <c r="BL13" s="29">
        <f t="shared" si="41"/>
        <v>0</v>
      </c>
      <c r="BM13" s="28">
        <f t="shared" si="42"/>
        <v>0</v>
      </c>
      <c r="BN13" s="29">
        <f t="shared" si="43"/>
        <v>0</v>
      </c>
      <c r="BO13" s="28">
        <f t="shared" si="44"/>
        <v>0</v>
      </c>
      <c r="BP13" s="29">
        <f t="shared" si="45"/>
        <v>0</v>
      </c>
      <c r="BQ13" s="150">
        <f t="shared" si="46"/>
        <v>0</v>
      </c>
      <c r="BR13" s="29">
        <f t="shared" si="47"/>
        <v>0</v>
      </c>
      <c r="BS13" s="91">
        <f t="shared" si="79"/>
        <v>0.30427624576716511</v>
      </c>
      <c r="BT13" s="206">
        <f t="shared" si="80"/>
        <v>0.30427624576716511</v>
      </c>
      <c r="BU13" s="206">
        <f t="shared" si="81"/>
        <v>0.30427624576716511</v>
      </c>
      <c r="BV13" s="97">
        <f t="shared" si="82"/>
        <v>0.30745969975588205</v>
      </c>
      <c r="BW13" s="123">
        <f t="shared" si="83"/>
        <v>0.30836545332772819</v>
      </c>
      <c r="BX13" s="91">
        <f>(M13^2)*'Fly-Buck_Calc'!$B$80</f>
        <v>8.4183699338081387E-3</v>
      </c>
      <c r="BY13" s="92">
        <f t="shared" si="48"/>
        <v>5.0000000000000001E-3</v>
      </c>
      <c r="BZ13" s="92">
        <f t="shared" si="49"/>
        <v>5.0000000000000001E-3</v>
      </c>
      <c r="CA13" s="92">
        <f t="shared" si="50"/>
        <v>0</v>
      </c>
      <c r="CB13" s="92">
        <f t="shared" si="51"/>
        <v>0</v>
      </c>
      <c r="CC13" s="92">
        <f t="shared" si="52"/>
        <v>0</v>
      </c>
      <c r="CD13" s="92">
        <f t="shared" si="53"/>
        <v>0</v>
      </c>
      <c r="CE13" s="127">
        <f t="shared" si="84"/>
        <v>1.8418369933808139E-2</v>
      </c>
      <c r="CF13" s="91">
        <f t="shared" si="85"/>
        <v>3.4876104011490855E-2</v>
      </c>
      <c r="CG13" s="92">
        <f t="shared" si="54"/>
        <v>8.0100000000000005E-2</v>
      </c>
      <c r="CH13" s="206">
        <f t="shared" si="55"/>
        <v>8.333333333333335E-3</v>
      </c>
      <c r="CI13" s="92">
        <f t="shared" si="56"/>
        <v>9.6119999999999997E-2</v>
      </c>
      <c r="CJ13" s="93">
        <f t="shared" si="57"/>
        <v>0.09</v>
      </c>
      <c r="CK13" s="92">
        <f t="shared" si="58"/>
        <v>0.3094294373448242</v>
      </c>
      <c r="CL13" s="188">
        <f t="shared" si="59"/>
        <v>0.15</v>
      </c>
      <c r="CM13" s="206">
        <f t="shared" si="60"/>
        <v>0.15</v>
      </c>
      <c r="CN13" s="206">
        <f t="shared" si="61"/>
        <v>0</v>
      </c>
      <c r="CO13" s="206">
        <f t="shared" si="62"/>
        <v>0</v>
      </c>
      <c r="CP13" s="206">
        <f t="shared" si="63"/>
        <v>0</v>
      </c>
      <c r="CQ13" s="227">
        <f t="shared" si="64"/>
        <v>0</v>
      </c>
      <c r="CR13" s="231">
        <f t="shared" si="86"/>
        <v>0.3</v>
      </c>
      <c r="CS13" s="206">
        <f t="shared" si="65"/>
        <v>0.62784780727863232</v>
      </c>
      <c r="CT13" s="206">
        <f t="shared" si="66"/>
        <v>5.6278478072786324</v>
      </c>
      <c r="CU13" s="206">
        <f t="shared" si="67"/>
        <v>0.88843909274401101</v>
      </c>
      <c r="CV13">
        <f t="shared" si="68"/>
        <v>16.02</v>
      </c>
    </row>
    <row r="14" spans="1:100" x14ac:dyDescent="0.25">
      <c r="A14" s="12" t="s">
        <v>308</v>
      </c>
      <c r="B14" s="12">
        <f>IF(AND(VoutPri_FB&gt;0,Vout2&lt;&gt;0),((ABS(Vout2)+Vdiode2)/ABS(VoutPri_FB))*Np,0)</f>
        <v>1.06</v>
      </c>
      <c r="C14" s="12"/>
      <c r="E14" s="1"/>
      <c r="K14">
        <v>10</v>
      </c>
      <c r="L14" s="91">
        <f t="shared" si="0"/>
        <v>16.8</v>
      </c>
      <c r="M14" s="93">
        <f t="shared" si="1"/>
        <v>0.33068783068783064</v>
      </c>
      <c r="N14" s="122">
        <f t="shared" si="69"/>
        <v>6.1354031479817636E-5</v>
      </c>
      <c r="O14" s="97">
        <f t="shared" si="70"/>
        <v>5.5218628331835874E-5</v>
      </c>
      <c r="P14" s="123">
        <f t="shared" si="71"/>
        <v>5.0198753028941695E-5</v>
      </c>
      <c r="Q14" s="127">
        <f t="shared" si="72"/>
        <v>0.29761904761904762</v>
      </c>
      <c r="R14" s="91">
        <f t="shared" si="73"/>
        <v>1.1111111111111109</v>
      </c>
      <c r="S14" s="92">
        <f t="shared" si="2"/>
        <v>0.27872260015117162</v>
      </c>
      <c r="T14" s="92">
        <f t="shared" si="74"/>
        <v>1.2504724111866967</v>
      </c>
      <c r="U14" s="92">
        <f t="shared" si="3"/>
        <v>1.8789243956664612</v>
      </c>
      <c r="V14" s="93">
        <f t="shared" si="75"/>
        <v>0.60774802857463484</v>
      </c>
      <c r="W14" s="92">
        <f t="shared" si="76"/>
        <v>0.50990511359598256</v>
      </c>
      <c r="X14" s="117">
        <f t="shared" si="4"/>
        <v>0.71186440677966112</v>
      </c>
      <c r="Y14" s="103">
        <f t="shared" si="5"/>
        <v>0.24806212188605514</v>
      </c>
      <c r="Z14" s="103">
        <f t="shared" si="6"/>
        <v>0.5996114939112388</v>
      </c>
      <c r="AA14" s="118">
        <f t="shared" si="7"/>
        <v>0.33095912682757006</v>
      </c>
      <c r="AB14" s="117">
        <f t="shared" si="8"/>
        <v>0.71186440677966112</v>
      </c>
      <c r="AC14" s="103">
        <f t="shared" si="9"/>
        <v>0.24806212188605514</v>
      </c>
      <c r="AD14" s="103">
        <f t="shared" si="10"/>
        <v>0.5996114939112388</v>
      </c>
      <c r="AE14" s="118">
        <f t="shared" si="11"/>
        <v>0.33095912682757006</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21">
        <f t="shared" si="28"/>
        <v>2.2477629044449325E-2</v>
      </c>
      <c r="AW14" s="21">
        <f t="shared" si="77"/>
        <v>0</v>
      </c>
      <c r="AX14" s="139">
        <f t="shared" si="29"/>
        <v>0</v>
      </c>
      <c r="AY14" s="140">
        <v>10</v>
      </c>
      <c r="AZ14" s="141">
        <f t="shared" si="30"/>
        <v>0</v>
      </c>
      <c r="BA14" s="19">
        <f t="shared" si="31"/>
        <v>9.1191613715451556</v>
      </c>
      <c r="BB14" s="142">
        <f t="shared" si="32"/>
        <v>3.3649705461001626E-3</v>
      </c>
      <c r="BC14" s="19">
        <f t="shared" si="78"/>
        <v>11.665000191338807</v>
      </c>
      <c r="BD14" s="79">
        <f t="shared" si="33"/>
        <v>4.3043850706040191E-3</v>
      </c>
      <c r="BE14" s="144">
        <f t="shared" si="34"/>
        <v>1.5312620737585362E-2</v>
      </c>
      <c r="BF14" s="148">
        <f t="shared" si="35"/>
        <v>1.2403222797444146E-2</v>
      </c>
      <c r="BG14" s="144">
        <f t="shared" si="36"/>
        <v>9.3302103059902303E-2</v>
      </c>
      <c r="BH14" s="152">
        <f t="shared" si="37"/>
        <v>4.0878989188669668E-2</v>
      </c>
      <c r="BI14" s="28">
        <f t="shared" si="38"/>
        <v>9.3302103059902303E-2</v>
      </c>
      <c r="BJ14" s="29">
        <f t="shared" si="39"/>
        <v>4.0878989188669668E-2</v>
      </c>
      <c r="BK14" s="28">
        <f t="shared" si="40"/>
        <v>0</v>
      </c>
      <c r="BL14" s="29">
        <f t="shared" si="41"/>
        <v>0</v>
      </c>
      <c r="BM14" s="28">
        <f t="shared" si="42"/>
        <v>0</v>
      </c>
      <c r="BN14" s="29">
        <f t="shared" si="43"/>
        <v>0</v>
      </c>
      <c r="BO14" s="28">
        <f t="shared" si="44"/>
        <v>0</v>
      </c>
      <c r="BP14" s="29">
        <f t="shared" si="45"/>
        <v>0</v>
      </c>
      <c r="BQ14" s="150">
        <f t="shared" si="46"/>
        <v>0</v>
      </c>
      <c r="BR14" s="29">
        <f t="shared" si="47"/>
        <v>0</v>
      </c>
      <c r="BS14" s="91">
        <f t="shared" si="79"/>
        <v>0.29607802803217348</v>
      </c>
      <c r="BT14" s="206">
        <f t="shared" si="80"/>
        <v>0.29607802803217348</v>
      </c>
      <c r="BU14" s="206">
        <f t="shared" si="81"/>
        <v>0.29607802803217348</v>
      </c>
      <c r="BV14" s="97">
        <f t="shared" si="82"/>
        <v>0.29944299857827367</v>
      </c>
      <c r="BW14" s="123">
        <f t="shared" si="83"/>
        <v>0.30038241310277752</v>
      </c>
      <c r="BX14" s="91">
        <f>(M14^2)*'Fly-Buck_Calc'!$B$80</f>
        <v>7.6548108955516343E-3</v>
      </c>
      <c r="BY14" s="92">
        <f t="shared" si="48"/>
        <v>5.0000000000000001E-3</v>
      </c>
      <c r="BZ14" s="92">
        <f t="shared" si="49"/>
        <v>5.0000000000000001E-3</v>
      </c>
      <c r="CA14" s="92">
        <f t="shared" si="50"/>
        <v>0</v>
      </c>
      <c r="CB14" s="92">
        <f t="shared" si="51"/>
        <v>0</v>
      </c>
      <c r="CC14" s="92">
        <f t="shared" si="52"/>
        <v>0</v>
      </c>
      <c r="CD14" s="92">
        <f t="shared" si="53"/>
        <v>0</v>
      </c>
      <c r="CE14" s="127">
        <f t="shared" si="84"/>
        <v>1.7654810895551636E-2</v>
      </c>
      <c r="CF14" s="91">
        <f t="shared" si="85"/>
        <v>3.1712787995856764E-2</v>
      </c>
      <c r="CG14" s="92">
        <f t="shared" si="54"/>
        <v>8.3999999999999991E-2</v>
      </c>
      <c r="CH14" s="206">
        <f t="shared" si="55"/>
        <v>8.3333333333333332E-3</v>
      </c>
      <c r="CI14" s="92">
        <f t="shared" si="56"/>
        <v>0.1008</v>
      </c>
      <c r="CJ14" s="93">
        <f t="shared" si="57"/>
        <v>0.09</v>
      </c>
      <c r="CK14" s="92">
        <f t="shared" si="58"/>
        <v>0.3148461213291901</v>
      </c>
      <c r="CL14" s="188">
        <f t="shared" si="59"/>
        <v>0.15</v>
      </c>
      <c r="CM14" s="206">
        <f t="shared" si="60"/>
        <v>0.15</v>
      </c>
      <c r="CN14" s="206">
        <f t="shared" si="61"/>
        <v>0</v>
      </c>
      <c r="CO14" s="206">
        <f t="shared" si="62"/>
        <v>0</v>
      </c>
      <c r="CP14" s="206">
        <f t="shared" si="63"/>
        <v>0</v>
      </c>
      <c r="CQ14" s="227">
        <f t="shared" si="64"/>
        <v>0</v>
      </c>
      <c r="CR14" s="231">
        <f t="shared" si="86"/>
        <v>0.3</v>
      </c>
      <c r="CS14" s="206">
        <f t="shared" si="65"/>
        <v>0.63250093222474169</v>
      </c>
      <c r="CT14" s="206">
        <f t="shared" si="66"/>
        <v>5.6325009322247421</v>
      </c>
      <c r="CU14" s="206">
        <f t="shared" si="67"/>
        <v>0.88770513492397862</v>
      </c>
      <c r="CV14">
        <f t="shared" si="68"/>
        <v>16.8</v>
      </c>
    </row>
    <row r="15" spans="1:100" x14ac:dyDescent="0.25">
      <c r="A15" s="12" t="s">
        <v>309</v>
      </c>
      <c r="B15" s="12">
        <f>IF(n2_FlyB_Calc&lt;&gt;0,n2_FlyB/Np,0)</f>
        <v>1.06</v>
      </c>
      <c r="C15" s="12"/>
      <c r="K15">
        <v>11</v>
      </c>
      <c r="L15" s="91">
        <f t="shared" si="0"/>
        <v>17.579999999999998</v>
      </c>
      <c r="M15" s="93">
        <f t="shared" si="1"/>
        <v>0.31601567437744915</v>
      </c>
      <c r="N15" s="122">
        <f t="shared" si="69"/>
        <v>6.2507502887866498E-5</v>
      </c>
      <c r="O15" s="97">
        <f t="shared" si="70"/>
        <v>5.6256752599079849E-5</v>
      </c>
      <c r="P15" s="123">
        <f t="shared" si="71"/>
        <v>5.1142502362799857E-5</v>
      </c>
      <c r="Q15" s="127">
        <f t="shared" si="72"/>
        <v>0.28441410693970426</v>
      </c>
      <c r="R15" s="91">
        <f t="shared" si="73"/>
        <v>1.1111111111111109</v>
      </c>
      <c r="S15" s="92">
        <f t="shared" si="2"/>
        <v>0.28396265597630788</v>
      </c>
      <c r="T15" s="92">
        <f t="shared" si="74"/>
        <v>1.2530924390992648</v>
      </c>
      <c r="U15" s="92">
        <f t="shared" si="3"/>
        <v>1.8540522813669975</v>
      </c>
      <c r="V15" s="93">
        <f t="shared" si="75"/>
        <v>0.59417141163245701</v>
      </c>
      <c r="W15" s="92">
        <f t="shared" si="76"/>
        <v>0.50316375063101748</v>
      </c>
      <c r="X15" s="117">
        <f t="shared" si="4"/>
        <v>0.69872813990461058</v>
      </c>
      <c r="Y15" s="103">
        <f t="shared" si="5"/>
        <v>0.25272575291590232</v>
      </c>
      <c r="Z15" s="103">
        <f t="shared" si="6"/>
        <v>0.59428342912006626</v>
      </c>
      <c r="AA15" s="118">
        <f t="shared" si="7"/>
        <v>0.3212052212008778</v>
      </c>
      <c r="AB15" s="117">
        <f t="shared" si="8"/>
        <v>0.69872813990461058</v>
      </c>
      <c r="AC15" s="103">
        <f t="shared" si="9"/>
        <v>0.25272575291590232</v>
      </c>
      <c r="AD15" s="103">
        <f t="shared" si="10"/>
        <v>0.59428342912006626</v>
      </c>
      <c r="AE15" s="118">
        <f t="shared" si="11"/>
        <v>0.3212052212008778</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21">
        <f t="shared" si="28"/>
        <v>2.2900214191637732E-2</v>
      </c>
      <c r="AW15" s="21">
        <f t="shared" si="77"/>
        <v>0</v>
      </c>
      <c r="AX15" s="139">
        <f t="shared" si="29"/>
        <v>0</v>
      </c>
      <c r="AY15" s="140">
        <v>11</v>
      </c>
      <c r="AZ15" s="141">
        <f t="shared" si="30"/>
        <v>0</v>
      </c>
      <c r="BA15" s="19">
        <f t="shared" si="31"/>
        <v>9.5823440539939639</v>
      </c>
      <c r="BB15" s="142">
        <f t="shared" si="32"/>
        <v>3.5358849559237729E-3</v>
      </c>
      <c r="BC15" s="19">
        <f t="shared" si="78"/>
        <v>12.21191577812713</v>
      </c>
      <c r="BD15" s="79">
        <f t="shared" si="33"/>
        <v>4.5061969221289111E-3</v>
      </c>
      <c r="BE15" s="144">
        <f t="shared" si="34"/>
        <v>1.3983965635321238E-2</v>
      </c>
      <c r="BF15" s="148">
        <f t="shared" si="35"/>
        <v>1.1327012164610203E-2</v>
      </c>
      <c r="BG15" s="144">
        <f t="shared" si="36"/>
        <v>9.3302103059902303E-2</v>
      </c>
      <c r="BH15" s="152">
        <f t="shared" si="37"/>
        <v>3.8504954682351593E-2</v>
      </c>
      <c r="BI15" s="28">
        <f t="shared" si="38"/>
        <v>9.3302103059902303E-2</v>
      </c>
      <c r="BJ15" s="29">
        <f t="shared" si="39"/>
        <v>3.8504954682351593E-2</v>
      </c>
      <c r="BK15" s="28">
        <f t="shared" si="40"/>
        <v>0</v>
      </c>
      <c r="BL15" s="29">
        <f t="shared" si="41"/>
        <v>0</v>
      </c>
      <c r="BM15" s="28">
        <f t="shared" si="42"/>
        <v>0</v>
      </c>
      <c r="BN15" s="29">
        <f t="shared" si="43"/>
        <v>0</v>
      </c>
      <c r="BO15" s="28">
        <f t="shared" si="44"/>
        <v>0</v>
      </c>
      <c r="BP15" s="29">
        <f t="shared" si="45"/>
        <v>0</v>
      </c>
      <c r="BQ15" s="150">
        <f t="shared" si="46"/>
        <v>0</v>
      </c>
      <c r="BR15" s="29">
        <f t="shared" si="47"/>
        <v>0</v>
      </c>
      <c r="BS15" s="91">
        <f t="shared" si="79"/>
        <v>0.28892509328443927</v>
      </c>
      <c r="BT15" s="206">
        <f t="shared" si="80"/>
        <v>0.28892509328443927</v>
      </c>
      <c r="BU15" s="206">
        <f t="shared" si="81"/>
        <v>0.28892509328443927</v>
      </c>
      <c r="BV15" s="97">
        <f t="shared" si="82"/>
        <v>0.29246097824036305</v>
      </c>
      <c r="BW15" s="123">
        <f t="shared" si="83"/>
        <v>0.29343129020656816</v>
      </c>
      <c r="BX15" s="91">
        <f>(M15^2)*'Fly-Buck_Calc'!$B$80</f>
        <v>6.9906134516563787E-3</v>
      </c>
      <c r="BY15" s="92">
        <f t="shared" si="48"/>
        <v>5.0000000000000001E-3</v>
      </c>
      <c r="BZ15" s="92">
        <f t="shared" si="49"/>
        <v>5.0000000000000001E-3</v>
      </c>
      <c r="CA15" s="92">
        <f t="shared" si="50"/>
        <v>0</v>
      </c>
      <c r="CB15" s="92">
        <f t="shared" si="51"/>
        <v>0</v>
      </c>
      <c r="CC15" s="92">
        <f t="shared" si="52"/>
        <v>0</v>
      </c>
      <c r="CD15" s="92">
        <f t="shared" si="53"/>
        <v>0</v>
      </c>
      <c r="CE15" s="127">
        <f t="shared" si="84"/>
        <v>1.6990613451656381E-2</v>
      </c>
      <c r="CF15" s="91">
        <f t="shared" si="85"/>
        <v>2.8961112871147852E-2</v>
      </c>
      <c r="CG15" s="92">
        <f t="shared" si="54"/>
        <v>8.7899999999999978E-2</v>
      </c>
      <c r="CH15" s="206">
        <f t="shared" si="55"/>
        <v>8.3333333333333332E-3</v>
      </c>
      <c r="CI15" s="92">
        <f t="shared" si="56"/>
        <v>0.10547999999999999</v>
      </c>
      <c r="CJ15" s="93">
        <f t="shared" si="57"/>
        <v>0.09</v>
      </c>
      <c r="CK15" s="92">
        <f t="shared" si="58"/>
        <v>0.32067444620448116</v>
      </c>
      <c r="CL15" s="188">
        <f t="shared" si="59"/>
        <v>0.15</v>
      </c>
      <c r="CM15" s="206">
        <f t="shared" si="60"/>
        <v>0.15</v>
      </c>
      <c r="CN15" s="206">
        <f t="shared" si="61"/>
        <v>0</v>
      </c>
      <c r="CO15" s="206">
        <f t="shared" si="62"/>
        <v>0</v>
      </c>
      <c r="CP15" s="206">
        <f t="shared" si="63"/>
        <v>0</v>
      </c>
      <c r="CQ15" s="227">
        <f t="shared" si="64"/>
        <v>0</v>
      </c>
      <c r="CR15" s="231">
        <f t="shared" si="86"/>
        <v>0.3</v>
      </c>
      <c r="CS15" s="206">
        <f t="shared" si="65"/>
        <v>0.63766505965613751</v>
      </c>
      <c r="CT15" s="206">
        <f t="shared" si="66"/>
        <v>5.637665059656138</v>
      </c>
      <c r="CU15" s="206">
        <f t="shared" si="67"/>
        <v>0.88689199288915699</v>
      </c>
      <c r="CV15">
        <f t="shared" si="68"/>
        <v>17.579999999999998</v>
      </c>
    </row>
    <row r="16" spans="1:100" x14ac:dyDescent="0.25">
      <c r="A16" s="12" t="s">
        <v>310</v>
      </c>
      <c r="B16" s="12">
        <f>IF(AND(VoutPri_FB&gt;0,Vout3&lt;&gt;0),((ABS(Vout3)+Vdiode3)/ABS(VoutPri_FB))*Np,0)</f>
        <v>0</v>
      </c>
      <c r="C16" s="12"/>
      <c r="K16">
        <v>12</v>
      </c>
      <c r="L16" s="91">
        <f t="shared" si="0"/>
        <v>18.36</v>
      </c>
      <c r="M16" s="93">
        <f t="shared" si="1"/>
        <v>0.30259017187121762</v>
      </c>
      <c r="N16" s="122">
        <f t="shared" si="69"/>
        <v>6.3562966921375269E-5</v>
      </c>
      <c r="O16" s="97">
        <f t="shared" si="70"/>
        <v>5.7206670229237745E-5</v>
      </c>
      <c r="P16" s="123">
        <f t="shared" si="71"/>
        <v>5.200606384476158E-5</v>
      </c>
      <c r="Q16" s="127">
        <f t="shared" si="72"/>
        <v>0.27233115468409586</v>
      </c>
      <c r="R16" s="91">
        <f t="shared" si="73"/>
        <v>1.1111111111111112</v>
      </c>
      <c r="S16" s="92">
        <f t="shared" si="2"/>
        <v>0.28875747829996196</v>
      </c>
      <c r="T16" s="92">
        <f t="shared" si="74"/>
        <v>1.2554898502610921</v>
      </c>
      <c r="U16" s="92">
        <f t="shared" si="3"/>
        <v>1.8313102363366198</v>
      </c>
      <c r="V16" s="93">
        <f t="shared" si="75"/>
        <v>0.58146673999360843</v>
      </c>
      <c r="W16" s="92">
        <f t="shared" si="76"/>
        <v>0.49653072171391532</v>
      </c>
      <c r="X16" s="117">
        <f t="shared" si="4"/>
        <v>0.68712574850299402</v>
      </c>
      <c r="Y16" s="103">
        <f t="shared" si="5"/>
        <v>0.25699312771445526</v>
      </c>
      <c r="Z16" s="103">
        <f t="shared" si="6"/>
        <v>0.58954881902972223</v>
      </c>
      <c r="AA16" s="118">
        <f t="shared" si="7"/>
        <v>0.31235846397903189</v>
      </c>
      <c r="AB16" s="117">
        <f t="shared" si="8"/>
        <v>0.68712574850299402</v>
      </c>
      <c r="AC16" s="103">
        <f t="shared" si="9"/>
        <v>0.25699312771445526</v>
      </c>
      <c r="AD16" s="103">
        <f t="shared" si="10"/>
        <v>0.58954881902972223</v>
      </c>
      <c r="AE16" s="118">
        <f t="shared" si="11"/>
        <v>0.31235846397903189</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21">
        <f t="shared" si="28"/>
        <v>2.3286893411287254E-2</v>
      </c>
      <c r="AW16" s="21">
        <f t="shared" si="77"/>
        <v>0</v>
      </c>
      <c r="AX16" s="139">
        <f t="shared" si="29"/>
        <v>0</v>
      </c>
      <c r="AY16" s="140">
        <v>12</v>
      </c>
      <c r="AZ16" s="141">
        <f t="shared" si="30"/>
        <v>0</v>
      </c>
      <c r="BA16" s="19">
        <f t="shared" si="31"/>
        <v>10.018790819465687</v>
      </c>
      <c r="BB16" s="142">
        <f t="shared" si="32"/>
        <v>3.6969338123828389E-3</v>
      </c>
      <c r="BC16" s="19">
        <f t="shared" si="78"/>
        <v>12.725444091923011</v>
      </c>
      <c r="BD16" s="79">
        <f t="shared" si="33"/>
        <v>4.6956888699195912E-3</v>
      </c>
      <c r="BE16" s="144">
        <f t="shared" si="34"/>
        <v>1.2821024668147857E-2</v>
      </c>
      <c r="BF16" s="148">
        <f t="shared" si="35"/>
        <v>1.0385029981199764E-2</v>
      </c>
      <c r="BG16" s="144">
        <f t="shared" si="36"/>
        <v>9.3302103059902303E-2</v>
      </c>
      <c r="BH16" s="152">
        <f t="shared" si="37"/>
        <v>3.6413127463013777E-2</v>
      </c>
      <c r="BI16" s="28">
        <f t="shared" si="38"/>
        <v>9.3302103059902303E-2</v>
      </c>
      <c r="BJ16" s="29">
        <f t="shared" si="39"/>
        <v>3.6413127463013777E-2</v>
      </c>
      <c r="BK16" s="28">
        <f t="shared" si="40"/>
        <v>0</v>
      </c>
      <c r="BL16" s="29">
        <f t="shared" si="41"/>
        <v>0</v>
      </c>
      <c r="BM16" s="28">
        <f t="shared" si="42"/>
        <v>0</v>
      </c>
      <c r="BN16" s="29">
        <f t="shared" si="43"/>
        <v>0</v>
      </c>
      <c r="BO16" s="28">
        <f t="shared" si="44"/>
        <v>0</v>
      </c>
      <c r="BP16" s="29">
        <f t="shared" si="45"/>
        <v>0</v>
      </c>
      <c r="BQ16" s="150">
        <f t="shared" si="46"/>
        <v>0</v>
      </c>
      <c r="BR16" s="29">
        <f t="shared" si="47"/>
        <v>0</v>
      </c>
      <c r="BS16" s="91">
        <f t="shared" si="79"/>
        <v>0.28263651569517978</v>
      </c>
      <c r="BT16" s="206">
        <f t="shared" si="80"/>
        <v>0.28263651569517978</v>
      </c>
      <c r="BU16" s="206">
        <f t="shared" si="81"/>
        <v>0.28263651569517978</v>
      </c>
      <c r="BV16" s="97">
        <f t="shared" si="82"/>
        <v>0.28633344950756262</v>
      </c>
      <c r="BW16" s="123">
        <f t="shared" si="83"/>
        <v>0.28733220456509939</v>
      </c>
      <c r="BX16" s="91">
        <f>(M16^2)*'Fly-Buck_Calc'!$B$80</f>
        <v>6.4092568479137118E-3</v>
      </c>
      <c r="BY16" s="92">
        <f t="shared" si="48"/>
        <v>5.0000000000000001E-3</v>
      </c>
      <c r="BZ16" s="92">
        <f t="shared" si="49"/>
        <v>5.0000000000000001E-3</v>
      </c>
      <c r="CA16" s="92">
        <f t="shared" si="50"/>
        <v>0</v>
      </c>
      <c r="CB16" s="92">
        <f t="shared" si="51"/>
        <v>0</v>
      </c>
      <c r="CC16" s="92">
        <f t="shared" si="52"/>
        <v>0</v>
      </c>
      <c r="CD16" s="92">
        <f t="shared" si="53"/>
        <v>0</v>
      </c>
      <c r="CE16" s="127">
        <f t="shared" si="84"/>
        <v>1.6409256847913712E-2</v>
      </c>
      <c r="CF16" s="91">
        <f t="shared" si="85"/>
        <v>2.6552635512785375E-2</v>
      </c>
      <c r="CG16" s="92">
        <f t="shared" si="54"/>
        <v>9.1800000000000007E-2</v>
      </c>
      <c r="CH16" s="206">
        <f t="shared" si="55"/>
        <v>8.333333333333335E-3</v>
      </c>
      <c r="CI16" s="92">
        <f t="shared" si="56"/>
        <v>0.11015999999999999</v>
      </c>
      <c r="CJ16" s="93">
        <f t="shared" si="57"/>
        <v>0.09</v>
      </c>
      <c r="CK16" s="92">
        <f t="shared" si="58"/>
        <v>0.32684596884611872</v>
      </c>
      <c r="CL16" s="188">
        <f t="shared" si="59"/>
        <v>0.15</v>
      </c>
      <c r="CM16" s="206">
        <f t="shared" si="60"/>
        <v>0.15</v>
      </c>
      <c r="CN16" s="206">
        <f t="shared" si="61"/>
        <v>0</v>
      </c>
      <c r="CO16" s="206">
        <f t="shared" si="62"/>
        <v>0</v>
      </c>
      <c r="CP16" s="206">
        <f t="shared" si="63"/>
        <v>0</v>
      </c>
      <c r="CQ16" s="227">
        <f t="shared" si="64"/>
        <v>0</v>
      </c>
      <c r="CR16" s="231">
        <f t="shared" si="86"/>
        <v>0.3</v>
      </c>
      <c r="CS16" s="206">
        <f t="shared" si="65"/>
        <v>0.64325522569403248</v>
      </c>
      <c r="CT16" s="206">
        <f t="shared" si="66"/>
        <v>5.6432552256940323</v>
      </c>
      <c r="CU16" s="206">
        <f t="shared" si="67"/>
        <v>0.88601344437422247</v>
      </c>
      <c r="CV16">
        <f t="shared" si="68"/>
        <v>18.36</v>
      </c>
    </row>
    <row r="17" spans="1:100" x14ac:dyDescent="0.25">
      <c r="A17" s="12" t="s">
        <v>311</v>
      </c>
      <c r="B17" s="12">
        <f>IF(n3_FlyB_Calc&lt;&gt;0,n3_FlyB/Np,0)</f>
        <v>0</v>
      </c>
      <c r="C17" s="12"/>
      <c r="K17">
        <v>13</v>
      </c>
      <c r="L17" s="91">
        <f t="shared" si="0"/>
        <v>19.14</v>
      </c>
      <c r="M17" s="93">
        <f t="shared" si="1"/>
        <v>0.2902589109485661</v>
      </c>
      <c r="N17" s="122">
        <f t="shared" si="69"/>
        <v>6.4532405673156049E-5</v>
      </c>
      <c r="O17" s="97">
        <f t="shared" si="70"/>
        <v>5.8079165105840442E-5</v>
      </c>
      <c r="P17" s="123">
        <f t="shared" si="71"/>
        <v>5.2799241005309487E-5</v>
      </c>
      <c r="Q17" s="127">
        <f t="shared" si="72"/>
        <v>0.2612330198537095</v>
      </c>
      <c r="R17" s="91">
        <f t="shared" si="73"/>
        <v>1.1111111111111109</v>
      </c>
      <c r="S17" s="92">
        <f t="shared" si="2"/>
        <v>0.2931615000580518</v>
      </c>
      <c r="T17" s="92">
        <f t="shared" si="74"/>
        <v>1.2576918611401369</v>
      </c>
      <c r="U17" s="92">
        <f t="shared" si="3"/>
        <v>1.8104104767497744</v>
      </c>
      <c r="V17" s="93">
        <f t="shared" si="75"/>
        <v>0.56954441850652082</v>
      </c>
      <c r="W17" s="92">
        <f t="shared" si="76"/>
        <v>0.49003123295039402</v>
      </c>
      <c r="X17" s="117">
        <f t="shared" si="4"/>
        <v>0.6768033946251768</v>
      </c>
      <c r="Y17" s="103">
        <f t="shared" si="5"/>
        <v>0.26091269140090045</v>
      </c>
      <c r="Z17" s="103">
        <f t="shared" si="6"/>
        <v>0.58531417841662903</v>
      </c>
      <c r="AA17" s="118">
        <f t="shared" si="7"/>
        <v>0.30429046560077011</v>
      </c>
      <c r="AB17" s="117">
        <f t="shared" si="8"/>
        <v>0.6768033946251768</v>
      </c>
      <c r="AC17" s="103">
        <f t="shared" si="9"/>
        <v>0.26091269140090045</v>
      </c>
      <c r="AD17" s="103">
        <f t="shared" si="10"/>
        <v>0.58531417841662903</v>
      </c>
      <c r="AE17" s="118">
        <f t="shared" si="11"/>
        <v>0.30429046560077011</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21">
        <f t="shared" si="28"/>
        <v>2.36420564562945E-2</v>
      </c>
      <c r="AW17" s="21">
        <f t="shared" si="77"/>
        <v>0</v>
      </c>
      <c r="AX17" s="139">
        <f t="shared" si="29"/>
        <v>0</v>
      </c>
      <c r="AY17" s="140">
        <v>13</v>
      </c>
      <c r="AZ17" s="141">
        <f t="shared" si="30"/>
        <v>0</v>
      </c>
      <c r="BA17" s="19">
        <f t="shared" si="31"/>
        <v>10.430408969622</v>
      </c>
      <c r="BB17" s="142">
        <f t="shared" si="32"/>
        <v>3.8488209097905179E-3</v>
      </c>
      <c r="BC17" s="19">
        <f t="shared" si="78"/>
        <v>13.208218244668705</v>
      </c>
      <c r="BD17" s="79">
        <f t="shared" si="33"/>
        <v>4.8738325322827524E-3</v>
      </c>
      <c r="BE17" s="144">
        <f t="shared" si="34"/>
        <v>1.1797343440283532E-2</v>
      </c>
      <c r="BF17" s="148">
        <f t="shared" si="35"/>
        <v>9.5558481866296618E-3</v>
      </c>
      <c r="BG17" s="144">
        <f t="shared" si="36"/>
        <v>9.3302103059902303E-2</v>
      </c>
      <c r="BH17" s="152">
        <f t="shared" si="37"/>
        <v>3.455636987027802E-2</v>
      </c>
      <c r="BI17" s="28">
        <f t="shared" si="38"/>
        <v>9.3302103059902303E-2</v>
      </c>
      <c r="BJ17" s="29">
        <f t="shared" si="39"/>
        <v>3.455636987027802E-2</v>
      </c>
      <c r="BK17" s="28">
        <f t="shared" si="40"/>
        <v>0</v>
      </c>
      <c r="BL17" s="29">
        <f t="shared" si="41"/>
        <v>0</v>
      </c>
      <c r="BM17" s="28">
        <f t="shared" si="42"/>
        <v>0</v>
      </c>
      <c r="BN17" s="29">
        <f t="shared" si="43"/>
        <v>0</v>
      </c>
      <c r="BO17" s="28">
        <f t="shared" si="44"/>
        <v>0</v>
      </c>
      <c r="BP17" s="29">
        <f t="shared" si="45"/>
        <v>0</v>
      </c>
      <c r="BQ17" s="150">
        <f t="shared" si="46"/>
        <v>0</v>
      </c>
      <c r="BR17" s="29">
        <f t="shared" si="47"/>
        <v>0</v>
      </c>
      <c r="BS17" s="91">
        <f t="shared" si="79"/>
        <v>0.27707013748727383</v>
      </c>
      <c r="BT17" s="206">
        <f t="shared" si="80"/>
        <v>0.27707013748727383</v>
      </c>
      <c r="BU17" s="206">
        <f t="shared" si="81"/>
        <v>0.27707013748727383</v>
      </c>
      <c r="BV17" s="97">
        <f t="shared" si="82"/>
        <v>0.28091895839706432</v>
      </c>
      <c r="BW17" s="123">
        <f t="shared" si="83"/>
        <v>0.28194397001955657</v>
      </c>
      <c r="BX17" s="91">
        <f>(M17^2)*'Fly-Buck_Calc'!$B$80</f>
        <v>5.8975164769533347E-3</v>
      </c>
      <c r="BY17" s="92">
        <f t="shared" si="48"/>
        <v>5.0000000000000001E-3</v>
      </c>
      <c r="BZ17" s="92">
        <f t="shared" si="49"/>
        <v>5.0000000000000001E-3</v>
      </c>
      <c r="CA17" s="92">
        <f t="shared" si="50"/>
        <v>0</v>
      </c>
      <c r="CB17" s="92">
        <f t="shared" si="51"/>
        <v>0</v>
      </c>
      <c r="CC17" s="92">
        <f t="shared" si="52"/>
        <v>0</v>
      </c>
      <c r="CD17" s="92">
        <f t="shared" si="53"/>
        <v>0</v>
      </c>
      <c r="CE17" s="127">
        <f t="shared" si="84"/>
        <v>1.5897516476953335E-2</v>
      </c>
      <c r="CF17" s="91">
        <f t="shared" si="85"/>
        <v>2.443256826166381E-2</v>
      </c>
      <c r="CG17" s="92">
        <f t="shared" si="54"/>
        <v>9.5700000000000007E-2</v>
      </c>
      <c r="CH17" s="206">
        <f t="shared" si="55"/>
        <v>8.3333333333333332E-3</v>
      </c>
      <c r="CI17" s="92">
        <f t="shared" si="56"/>
        <v>0.11484000000000001</v>
      </c>
      <c r="CJ17" s="93">
        <f t="shared" si="57"/>
        <v>0.09</v>
      </c>
      <c r="CK17" s="92">
        <f t="shared" si="58"/>
        <v>0.33330590159499718</v>
      </c>
      <c r="CL17" s="188">
        <f t="shared" si="59"/>
        <v>0.15</v>
      </c>
      <c r="CM17" s="206">
        <f t="shared" si="60"/>
        <v>0.15</v>
      </c>
      <c r="CN17" s="206">
        <f t="shared" si="61"/>
        <v>0</v>
      </c>
      <c r="CO17" s="206">
        <f t="shared" si="62"/>
        <v>0</v>
      </c>
      <c r="CP17" s="206">
        <f t="shared" si="63"/>
        <v>0</v>
      </c>
      <c r="CQ17" s="227">
        <f t="shared" si="64"/>
        <v>0</v>
      </c>
      <c r="CR17" s="231">
        <f t="shared" si="86"/>
        <v>0.3</v>
      </c>
      <c r="CS17" s="206">
        <f t="shared" si="65"/>
        <v>0.64920341807195048</v>
      </c>
      <c r="CT17" s="206">
        <f t="shared" si="66"/>
        <v>5.6492034180719504</v>
      </c>
      <c r="CU17" s="206">
        <f t="shared" si="67"/>
        <v>0.88508053790466612</v>
      </c>
      <c r="CV17">
        <f t="shared" si="68"/>
        <v>19.14</v>
      </c>
    </row>
    <row r="18" spans="1:100" x14ac:dyDescent="0.25">
      <c r="A18" s="12" t="s">
        <v>312</v>
      </c>
      <c r="B18" s="12">
        <f>IF(AND(VoutPri_FB&gt;0,Vout4&lt;&gt;0),((ABS(Vout4)+Vdiode4)/ABS(VoutPri_FB))*Np,0)</f>
        <v>0</v>
      </c>
      <c r="C18" s="12"/>
      <c r="K18">
        <v>14</v>
      </c>
      <c r="L18" s="91">
        <f t="shared" si="0"/>
        <v>19.920000000000002</v>
      </c>
      <c r="M18" s="93">
        <f t="shared" si="1"/>
        <v>0.2788933511825078</v>
      </c>
      <c r="N18" s="122">
        <f t="shared" si="69"/>
        <v>6.5425924522688933E-5</v>
      </c>
      <c r="O18" s="97">
        <f t="shared" si="70"/>
        <v>5.8883332070420042E-5</v>
      </c>
      <c r="P18" s="123">
        <f t="shared" si="71"/>
        <v>5.3530301882200028E-5</v>
      </c>
      <c r="Q18" s="127">
        <f t="shared" si="72"/>
        <v>0.25100401606425699</v>
      </c>
      <c r="R18" s="91">
        <f t="shared" si="73"/>
        <v>1.1111111111111112</v>
      </c>
      <c r="S18" s="92">
        <f t="shared" si="2"/>
        <v>0.29722062854592973</v>
      </c>
      <c r="T18" s="92">
        <f t="shared" si="74"/>
        <v>1.2597214253840761</v>
      </c>
      <c r="U18" s="92">
        <f t="shared" si="3"/>
        <v>1.791117102908677</v>
      </c>
      <c r="V18" s="93">
        <f t="shared" si="75"/>
        <v>0.55832724395858258</v>
      </c>
      <c r="W18" s="92">
        <f t="shared" si="76"/>
        <v>0.48368151712937818</v>
      </c>
      <c r="X18" s="117">
        <f t="shared" si="4"/>
        <v>0.66756032171581769</v>
      </c>
      <c r="Y18" s="103">
        <f t="shared" si="5"/>
        <v>0.26452530130467222</v>
      </c>
      <c r="Z18" s="103">
        <f t="shared" si="6"/>
        <v>0.58150465044815769</v>
      </c>
      <c r="AA18" s="118">
        <f t="shared" si="7"/>
        <v>0.29689671350965485</v>
      </c>
      <c r="AB18" s="117">
        <f t="shared" si="8"/>
        <v>0.66756032171581769</v>
      </c>
      <c r="AC18" s="103">
        <f t="shared" si="9"/>
        <v>0.26452530130467222</v>
      </c>
      <c r="AD18" s="103">
        <f t="shared" si="10"/>
        <v>0.58150465044815769</v>
      </c>
      <c r="AE18" s="118">
        <f t="shared" si="11"/>
        <v>0.29689671350965485</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21">
        <f t="shared" si="28"/>
        <v>2.3969405527897562E-2</v>
      </c>
      <c r="AW18" s="21">
        <f t="shared" si="77"/>
        <v>0</v>
      </c>
      <c r="AX18" s="139">
        <f t="shared" si="29"/>
        <v>0</v>
      </c>
      <c r="AY18" s="140">
        <v>14</v>
      </c>
      <c r="AZ18" s="141">
        <f t="shared" si="30"/>
        <v>0</v>
      </c>
      <c r="BA18" s="19">
        <f t="shared" si="31"/>
        <v>10.818994296000021</v>
      </c>
      <c r="BB18" s="142">
        <f t="shared" si="32"/>
        <v>3.9922088952240075E-3</v>
      </c>
      <c r="BC18" s="19">
        <f t="shared" si="78"/>
        <v>13.662664010596233</v>
      </c>
      <c r="BD18" s="79">
        <f t="shared" si="33"/>
        <v>5.0415230199100094E-3</v>
      </c>
      <c r="BE18" s="144">
        <f t="shared" si="34"/>
        <v>1.0891543273939364E-2</v>
      </c>
      <c r="BF18" s="148">
        <f t="shared" si="35"/>
        <v>8.822150051890883E-3</v>
      </c>
      <c r="BG18" s="144">
        <f t="shared" si="36"/>
        <v>9.3302103059902303E-2</v>
      </c>
      <c r="BH18" s="152">
        <f t="shared" si="37"/>
        <v>3.2897447668749906E-2</v>
      </c>
      <c r="BI18" s="28">
        <f t="shared" si="38"/>
        <v>9.3302103059902303E-2</v>
      </c>
      <c r="BJ18" s="29">
        <f t="shared" si="39"/>
        <v>3.2897447668749906E-2</v>
      </c>
      <c r="BK18" s="28">
        <f t="shared" si="40"/>
        <v>0</v>
      </c>
      <c r="BL18" s="29">
        <f t="shared" si="41"/>
        <v>0</v>
      </c>
      <c r="BM18" s="28">
        <f t="shared" si="42"/>
        <v>0</v>
      </c>
      <c r="BN18" s="29">
        <f t="shared" si="43"/>
        <v>0</v>
      </c>
      <c r="BO18" s="28">
        <f t="shared" si="44"/>
        <v>0</v>
      </c>
      <c r="BP18" s="29">
        <f t="shared" si="45"/>
        <v>0</v>
      </c>
      <c r="BQ18" s="150">
        <f t="shared" si="46"/>
        <v>0</v>
      </c>
      <c r="BR18" s="29">
        <f t="shared" si="47"/>
        <v>0</v>
      </c>
      <c r="BS18" s="91">
        <f t="shared" si="79"/>
        <v>0.27211279478313466</v>
      </c>
      <c r="BT18" s="206">
        <f t="shared" si="80"/>
        <v>0.27211279478313466</v>
      </c>
      <c r="BU18" s="206">
        <f t="shared" si="81"/>
        <v>0.27211279478313466</v>
      </c>
      <c r="BV18" s="97">
        <f t="shared" si="82"/>
        <v>0.27610500367835866</v>
      </c>
      <c r="BW18" s="123">
        <f t="shared" si="83"/>
        <v>0.27715431780304467</v>
      </c>
      <c r="BX18" s="91">
        <f>(M18^2)*'Fly-Buck_Calc'!$B$80</f>
        <v>5.444705093366674E-3</v>
      </c>
      <c r="BY18" s="92">
        <f t="shared" si="48"/>
        <v>5.0000000000000001E-3</v>
      </c>
      <c r="BZ18" s="92">
        <f t="shared" si="49"/>
        <v>5.0000000000000001E-3</v>
      </c>
      <c r="CA18" s="92">
        <f t="shared" si="50"/>
        <v>0</v>
      </c>
      <c r="CB18" s="92">
        <f t="shared" si="51"/>
        <v>0</v>
      </c>
      <c r="CC18" s="92">
        <f t="shared" si="52"/>
        <v>0</v>
      </c>
      <c r="CD18" s="92">
        <f t="shared" si="53"/>
        <v>0</v>
      </c>
      <c r="CE18" s="127">
        <f t="shared" si="84"/>
        <v>1.5444705093366675E-2</v>
      </c>
      <c r="CF18" s="91">
        <f t="shared" si="85"/>
        <v>2.2556635386804788E-2</v>
      </c>
      <c r="CG18" s="92">
        <f t="shared" si="54"/>
        <v>9.9600000000000022E-2</v>
      </c>
      <c r="CH18" s="206">
        <f t="shared" si="55"/>
        <v>8.333333333333335E-3</v>
      </c>
      <c r="CI18" s="92">
        <f t="shared" si="56"/>
        <v>0.11952000000000002</v>
      </c>
      <c r="CJ18" s="93">
        <f t="shared" si="57"/>
        <v>0.09</v>
      </c>
      <c r="CK18" s="92">
        <f t="shared" si="58"/>
        <v>0.34000996872013811</v>
      </c>
      <c r="CL18" s="188">
        <f t="shared" si="59"/>
        <v>0.15</v>
      </c>
      <c r="CM18" s="206">
        <f t="shared" si="60"/>
        <v>0.15</v>
      </c>
      <c r="CN18" s="206">
        <f t="shared" si="61"/>
        <v>0</v>
      </c>
      <c r="CO18" s="206">
        <f t="shared" si="62"/>
        <v>0</v>
      </c>
      <c r="CP18" s="206">
        <f t="shared" si="63"/>
        <v>0</v>
      </c>
      <c r="CQ18" s="227">
        <f t="shared" si="64"/>
        <v>0</v>
      </c>
      <c r="CR18" s="231">
        <f t="shared" si="86"/>
        <v>0.3</v>
      </c>
      <c r="CS18" s="206">
        <f t="shared" si="65"/>
        <v>0.65545467381350486</v>
      </c>
      <c r="CT18" s="206">
        <f t="shared" si="66"/>
        <v>5.6554546738135052</v>
      </c>
      <c r="CU18" s="206">
        <f t="shared" si="67"/>
        <v>0.8841022143014492</v>
      </c>
      <c r="CV18">
        <f t="shared" si="68"/>
        <v>19.920000000000002</v>
      </c>
    </row>
    <row r="19" spans="1:100" x14ac:dyDescent="0.25">
      <c r="A19" s="12" t="s">
        <v>313</v>
      </c>
      <c r="B19" s="12">
        <f>IF(n4_FlyB_Calc&lt;&gt;0,n4_FlyB/Np,0)</f>
        <v>0</v>
      </c>
      <c r="C19" s="12"/>
      <c r="K19">
        <v>15</v>
      </c>
      <c r="L19" s="91">
        <f t="shared" si="0"/>
        <v>20.700000000000003</v>
      </c>
      <c r="M19" s="93">
        <f t="shared" si="1"/>
        <v>0.26838432635534082</v>
      </c>
      <c r="N19" s="122">
        <f t="shared" si="69"/>
        <v>6.625210571979326E-5</v>
      </c>
      <c r="O19" s="97">
        <f t="shared" si="70"/>
        <v>5.9626895147813934E-5</v>
      </c>
      <c r="P19" s="123">
        <f t="shared" si="71"/>
        <v>5.4206268316194474E-5</v>
      </c>
      <c r="Q19" s="127">
        <f t="shared" si="72"/>
        <v>0.24154589371980673</v>
      </c>
      <c r="R19" s="91">
        <f t="shared" si="73"/>
        <v>1.1111111111111112</v>
      </c>
      <c r="S19" s="92">
        <f t="shared" si="2"/>
        <v>0.30097385169848939</v>
      </c>
      <c r="T19" s="92">
        <f t="shared" si="74"/>
        <v>1.2615980369603559</v>
      </c>
      <c r="U19" s="92">
        <f t="shared" si="3"/>
        <v>1.773234605569415</v>
      </c>
      <c r="V19" s="93">
        <f t="shared" si="75"/>
        <v>0.54774828329101088</v>
      </c>
      <c r="W19" s="92">
        <f t="shared" si="76"/>
        <v>0.47749139805345125</v>
      </c>
      <c r="X19" s="117">
        <f t="shared" si="4"/>
        <v>0.65923566878980888</v>
      </c>
      <c r="Y19" s="103">
        <f t="shared" si="5"/>
        <v>0.26786565654902933</v>
      </c>
      <c r="Z19" s="103">
        <f t="shared" si="6"/>
        <v>0.57805958598037932</v>
      </c>
      <c r="AA19" s="118">
        <f t="shared" si="7"/>
        <v>0.29009116660768486</v>
      </c>
      <c r="AB19" s="117">
        <f t="shared" si="8"/>
        <v>0.65923566878980888</v>
      </c>
      <c r="AC19" s="103">
        <f t="shared" si="9"/>
        <v>0.26786565654902933</v>
      </c>
      <c r="AD19" s="103">
        <f t="shared" si="10"/>
        <v>0.57805958598037932</v>
      </c>
      <c r="AE19" s="118">
        <f t="shared" si="11"/>
        <v>0.29009116660768486</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21">
        <f t="shared" si="28"/>
        <v>2.4272084814394305E-2</v>
      </c>
      <c r="AW19" s="21">
        <f t="shared" si="77"/>
        <v>0</v>
      </c>
      <c r="AX19" s="139">
        <f t="shared" si="29"/>
        <v>0</v>
      </c>
      <c r="AY19" s="140">
        <v>15</v>
      </c>
      <c r="AZ19" s="141">
        <f t="shared" si="30"/>
        <v>0</v>
      </c>
      <c r="BA19" s="19">
        <f t="shared" si="31"/>
        <v>11.186221315621196</v>
      </c>
      <c r="BB19" s="142">
        <f t="shared" si="32"/>
        <v>4.1277156654642216E-3</v>
      </c>
      <c r="BC19" s="19">
        <f t="shared" si="78"/>
        <v>14.091004072775135</v>
      </c>
      <c r="BD19" s="79">
        <f t="shared" si="33"/>
        <v>5.1995805028540254E-3</v>
      </c>
      <c r="BE19" s="144">
        <f t="shared" si="34"/>
        <v>1.0086195890163347E-2</v>
      </c>
      <c r="BF19" s="148">
        <f t="shared" si="35"/>
        <v>8.1698186710323119E-3</v>
      </c>
      <c r="BG19" s="144">
        <f t="shared" si="36"/>
        <v>9.3302103059902303E-2</v>
      </c>
      <c r="BH19" s="152">
        <f t="shared" si="37"/>
        <v>3.1406564575260941E-2</v>
      </c>
      <c r="BI19" s="28">
        <f t="shared" si="38"/>
        <v>9.3302103059902303E-2</v>
      </c>
      <c r="BJ19" s="29">
        <f t="shared" si="39"/>
        <v>3.1406564575260941E-2</v>
      </c>
      <c r="BK19" s="28">
        <f t="shared" si="40"/>
        <v>0</v>
      </c>
      <c r="BL19" s="29">
        <f t="shared" si="41"/>
        <v>0</v>
      </c>
      <c r="BM19" s="28">
        <f t="shared" si="42"/>
        <v>0</v>
      </c>
      <c r="BN19" s="29">
        <f t="shared" si="43"/>
        <v>0</v>
      </c>
      <c r="BO19" s="28">
        <f t="shared" si="44"/>
        <v>0</v>
      </c>
      <c r="BP19" s="29">
        <f t="shared" si="45"/>
        <v>0</v>
      </c>
      <c r="BQ19" s="150">
        <f t="shared" si="46"/>
        <v>0</v>
      </c>
      <c r="BR19" s="29">
        <f t="shared" si="47"/>
        <v>0</v>
      </c>
      <c r="BS19" s="91">
        <f t="shared" si="79"/>
        <v>0.26767334983152213</v>
      </c>
      <c r="BT19" s="206">
        <f t="shared" si="80"/>
        <v>0.26767334983152213</v>
      </c>
      <c r="BU19" s="206">
        <f t="shared" si="81"/>
        <v>0.26767334983152213</v>
      </c>
      <c r="BV19" s="97">
        <f t="shared" si="82"/>
        <v>0.27180106549698635</v>
      </c>
      <c r="BW19" s="123">
        <f t="shared" si="83"/>
        <v>0.27287293033437615</v>
      </c>
      <c r="BX19" s="91">
        <f>(M19^2)*'Fly-Buck_Calc'!$B$80</f>
        <v>5.042110264324706E-3</v>
      </c>
      <c r="BY19" s="92">
        <f t="shared" si="48"/>
        <v>5.0000000000000001E-3</v>
      </c>
      <c r="BZ19" s="92">
        <f t="shared" si="49"/>
        <v>5.0000000000000001E-3</v>
      </c>
      <c r="CA19" s="92">
        <f t="shared" si="50"/>
        <v>0</v>
      </c>
      <c r="CB19" s="92">
        <f t="shared" si="51"/>
        <v>0</v>
      </c>
      <c r="CC19" s="92">
        <f t="shared" si="52"/>
        <v>0</v>
      </c>
      <c r="CD19" s="92">
        <f t="shared" si="53"/>
        <v>0</v>
      </c>
      <c r="CE19" s="127">
        <f t="shared" si="84"/>
        <v>1.5042110264324705E-2</v>
      </c>
      <c r="CF19" s="91">
        <f t="shared" si="85"/>
        <v>2.0888742523630922E-2</v>
      </c>
      <c r="CG19" s="92">
        <f t="shared" si="54"/>
        <v>0.10350000000000002</v>
      </c>
      <c r="CH19" s="206">
        <f t="shared" si="55"/>
        <v>8.333333333333335E-3</v>
      </c>
      <c r="CI19" s="92">
        <f t="shared" si="56"/>
        <v>0.12420000000000002</v>
      </c>
      <c r="CJ19" s="93">
        <f t="shared" si="57"/>
        <v>0.09</v>
      </c>
      <c r="CK19" s="92">
        <f t="shared" si="58"/>
        <v>0.34692207585696433</v>
      </c>
      <c r="CL19" s="188">
        <f t="shared" si="59"/>
        <v>0.15</v>
      </c>
      <c r="CM19" s="206">
        <f t="shared" si="60"/>
        <v>0.15</v>
      </c>
      <c r="CN19" s="206">
        <f t="shared" si="61"/>
        <v>0</v>
      </c>
      <c r="CO19" s="206">
        <f t="shared" si="62"/>
        <v>0</v>
      </c>
      <c r="CP19" s="206">
        <f t="shared" si="63"/>
        <v>0</v>
      </c>
      <c r="CQ19" s="227">
        <f t="shared" si="64"/>
        <v>0</v>
      </c>
      <c r="CR19" s="231">
        <f t="shared" si="86"/>
        <v>0.3</v>
      </c>
      <c r="CS19" s="206">
        <f t="shared" si="65"/>
        <v>0.66196418612128893</v>
      </c>
      <c r="CT19" s="206">
        <f t="shared" si="66"/>
        <v>5.6619641861212893</v>
      </c>
      <c r="CU19" s="206">
        <f t="shared" si="67"/>
        <v>0.88308576946779216</v>
      </c>
      <c r="CV19">
        <f t="shared" si="68"/>
        <v>20.700000000000003</v>
      </c>
    </row>
    <row r="20" spans="1:100" x14ac:dyDescent="0.25">
      <c r="A20" s="12" t="s">
        <v>314</v>
      </c>
      <c r="B20" s="12">
        <f>IF(AND(VoutPri_FB&gt;0,Vout5&lt;&gt;0),((ABS(Vout5)+Vdiode5)/ABS(VoutPri_FB))*Np,0)</f>
        <v>0</v>
      </c>
      <c r="C20" s="12"/>
      <c r="K20">
        <v>16</v>
      </c>
      <c r="L20" s="91">
        <f t="shared" si="0"/>
        <v>21.48</v>
      </c>
      <c r="M20" s="93">
        <f t="shared" si="1"/>
        <v>0.25863852679495136</v>
      </c>
      <c r="N20" s="122">
        <f t="shared" si="69"/>
        <v>6.7018284930515693E-5</v>
      </c>
      <c r="O20" s="97">
        <f t="shared" si="70"/>
        <v>6.0316456437464129E-5</v>
      </c>
      <c r="P20" s="123">
        <f t="shared" si="71"/>
        <v>5.4833142215876467E-5</v>
      </c>
      <c r="Q20" s="127">
        <f t="shared" si="72"/>
        <v>0.23277467411545624</v>
      </c>
      <c r="R20" s="91">
        <f t="shared" si="73"/>
        <v>1.1111111111111109</v>
      </c>
      <c r="S20" s="92">
        <f t="shared" si="2"/>
        <v>0.30445449439862848</v>
      </c>
      <c r="T20" s="92">
        <f t="shared" si="74"/>
        <v>1.2633383583104252</v>
      </c>
      <c r="U20" s="92">
        <f t="shared" si="3"/>
        <v>1.7565993509467628</v>
      </c>
      <c r="V20" s="93">
        <f t="shared" si="75"/>
        <v>0.53774917993081306</v>
      </c>
      <c r="W20" s="92">
        <f t="shared" si="76"/>
        <v>0.47146611010082068</v>
      </c>
      <c r="X20" s="117">
        <f t="shared" si="4"/>
        <v>0.65169902912621358</v>
      </c>
      <c r="Y20" s="103">
        <f t="shared" si="5"/>
        <v>0.27096341616111469</v>
      </c>
      <c r="Z20" s="103">
        <f t="shared" si="6"/>
        <v>0.57492932595091961</v>
      </c>
      <c r="AA20" s="118">
        <f t="shared" si="7"/>
        <v>0.28380227243342993</v>
      </c>
      <c r="AB20" s="117">
        <f t="shared" si="8"/>
        <v>0.65169902912621358</v>
      </c>
      <c r="AC20" s="103">
        <f t="shared" si="9"/>
        <v>0.27096341616111469</v>
      </c>
      <c r="AD20" s="103">
        <f t="shared" si="10"/>
        <v>0.57492932595091961</v>
      </c>
      <c r="AE20" s="118">
        <f t="shared" si="11"/>
        <v>0.28380227243342993</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21">
        <f t="shared" si="28"/>
        <v>2.4552781806341007E-2</v>
      </c>
      <c r="AW20" s="21">
        <f t="shared" si="77"/>
        <v>0</v>
      </c>
      <c r="AX20" s="139">
        <f t="shared" si="29"/>
        <v>0</v>
      </c>
      <c r="AY20" s="140">
        <v>16</v>
      </c>
      <c r="AZ20" s="141">
        <f t="shared" si="30"/>
        <v>0</v>
      </c>
      <c r="BA20" s="19">
        <f t="shared" si="31"/>
        <v>11.533641434282158</v>
      </c>
      <c r="BB20" s="142">
        <f t="shared" si="32"/>
        <v>4.2559136892501162E-3</v>
      </c>
      <c r="BC20" s="19">
        <f t="shared" si="78"/>
        <v>14.495268153560451</v>
      </c>
      <c r="BD20" s="79">
        <f t="shared" si="33"/>
        <v>5.3487539486638067E-3</v>
      </c>
      <c r="BE20" s="144">
        <f t="shared" si="34"/>
        <v>9.3669787602344862E-3</v>
      </c>
      <c r="BF20" s="148">
        <f t="shared" si="35"/>
        <v>7.587252795789934E-3</v>
      </c>
      <c r="BG20" s="144">
        <f t="shared" si="36"/>
        <v>9.3302103059902303E-2</v>
      </c>
      <c r="BH20" s="152">
        <f t="shared" si="37"/>
        <v>3.0059597528837381E-2</v>
      </c>
      <c r="BI20" s="28">
        <f t="shared" si="38"/>
        <v>9.3302103059902303E-2</v>
      </c>
      <c r="BJ20" s="29">
        <f t="shared" si="39"/>
        <v>3.0059597528837381E-2</v>
      </c>
      <c r="BK20" s="28">
        <f t="shared" si="40"/>
        <v>0</v>
      </c>
      <c r="BL20" s="29">
        <f t="shared" si="41"/>
        <v>0</v>
      </c>
      <c r="BM20" s="28">
        <f t="shared" si="42"/>
        <v>0</v>
      </c>
      <c r="BN20" s="29">
        <f t="shared" si="43"/>
        <v>0</v>
      </c>
      <c r="BO20" s="28">
        <f t="shared" si="44"/>
        <v>0</v>
      </c>
      <c r="BP20" s="29">
        <f t="shared" si="45"/>
        <v>0</v>
      </c>
      <c r="BQ20" s="150">
        <f t="shared" si="46"/>
        <v>0</v>
      </c>
      <c r="BR20" s="29">
        <f t="shared" si="47"/>
        <v>0</v>
      </c>
      <c r="BS20" s="91">
        <f t="shared" si="79"/>
        <v>0.26367763273350375</v>
      </c>
      <c r="BT20" s="206">
        <f t="shared" si="80"/>
        <v>0.26367763273350375</v>
      </c>
      <c r="BU20" s="206">
        <f t="shared" si="81"/>
        <v>0.26367763273350375</v>
      </c>
      <c r="BV20" s="97">
        <f t="shared" si="82"/>
        <v>0.26793354642275385</v>
      </c>
      <c r="BW20" s="123">
        <f t="shared" si="83"/>
        <v>0.26902638668216755</v>
      </c>
      <c r="BX20" s="91">
        <f>(M20^2)*'Fly-Buck_Calc'!$B$80</f>
        <v>4.6825721279863943E-3</v>
      </c>
      <c r="BY20" s="92">
        <f t="shared" si="48"/>
        <v>5.0000000000000001E-3</v>
      </c>
      <c r="BZ20" s="92">
        <f t="shared" si="49"/>
        <v>5.0000000000000001E-3</v>
      </c>
      <c r="CA20" s="92">
        <f t="shared" si="50"/>
        <v>0</v>
      </c>
      <c r="CB20" s="92">
        <f t="shared" si="51"/>
        <v>0</v>
      </c>
      <c r="CC20" s="92">
        <f t="shared" si="52"/>
        <v>0</v>
      </c>
      <c r="CD20" s="92">
        <f t="shared" si="53"/>
        <v>0</v>
      </c>
      <c r="CE20" s="127">
        <f t="shared" si="84"/>
        <v>1.4682572127986394E-2</v>
      </c>
      <c r="CF20" s="91">
        <f t="shared" si="85"/>
        <v>1.9399227387372202E-2</v>
      </c>
      <c r="CG20" s="92">
        <f t="shared" si="54"/>
        <v>0.1074</v>
      </c>
      <c r="CH20" s="206">
        <f t="shared" si="55"/>
        <v>8.3333333333333332E-3</v>
      </c>
      <c r="CI20" s="92">
        <f t="shared" si="56"/>
        <v>0.12887999999999999</v>
      </c>
      <c r="CJ20" s="93">
        <f t="shared" si="57"/>
        <v>0.09</v>
      </c>
      <c r="CK20" s="92">
        <f t="shared" si="58"/>
        <v>0.35401256072070553</v>
      </c>
      <c r="CL20" s="188">
        <f t="shared" si="59"/>
        <v>0.15</v>
      </c>
      <c r="CM20" s="206">
        <f t="shared" si="60"/>
        <v>0.15</v>
      </c>
      <c r="CN20" s="206">
        <f t="shared" si="61"/>
        <v>0</v>
      </c>
      <c r="CO20" s="206">
        <f t="shared" si="62"/>
        <v>0</v>
      </c>
      <c r="CP20" s="206">
        <f t="shared" si="63"/>
        <v>0</v>
      </c>
      <c r="CQ20" s="227">
        <f t="shared" si="64"/>
        <v>0</v>
      </c>
      <c r="CR20" s="231">
        <f t="shared" si="86"/>
        <v>0.3</v>
      </c>
      <c r="CS20" s="206">
        <f t="shared" si="65"/>
        <v>0.66869513284869186</v>
      </c>
      <c r="CT20" s="206">
        <f t="shared" si="66"/>
        <v>5.6686951328486916</v>
      </c>
      <c r="CU20" s="206">
        <f t="shared" si="67"/>
        <v>0.88203720306393474</v>
      </c>
      <c r="CV20">
        <f t="shared" si="68"/>
        <v>21.48</v>
      </c>
    </row>
    <row r="21" spans="1:100" x14ac:dyDescent="0.25">
      <c r="A21" s="12" t="s">
        <v>315</v>
      </c>
      <c r="B21" s="12">
        <f>IF(n5_FlyB_Calc&lt;&gt;0,n5_FlyB/Np,0)</f>
        <v>0</v>
      </c>
      <c r="C21" s="12"/>
      <c r="K21">
        <v>17</v>
      </c>
      <c r="L21" s="91">
        <f t="shared" si="0"/>
        <v>22.259999999999998</v>
      </c>
      <c r="M21" s="93">
        <f t="shared" si="1"/>
        <v>0.24957572127383448</v>
      </c>
      <c r="N21" s="122">
        <f t="shared" si="69"/>
        <v>6.7730769641295333E-5</v>
      </c>
      <c r="O21" s="97">
        <f t="shared" si="70"/>
        <v>6.0957692677165794E-5</v>
      </c>
      <c r="P21" s="123">
        <f t="shared" si="71"/>
        <v>5.5416084251968892E-5</v>
      </c>
      <c r="Q21" s="127">
        <f t="shared" si="72"/>
        <v>0.22461814914645106</v>
      </c>
      <c r="R21" s="91">
        <f t="shared" si="73"/>
        <v>1.1111111111111109</v>
      </c>
      <c r="S21" s="92">
        <f t="shared" si="2"/>
        <v>0.30769121065617022</v>
      </c>
      <c r="T21" s="92">
        <f t="shared" si="74"/>
        <v>1.2649567164391962</v>
      </c>
      <c r="U21" s="92">
        <f t="shared" si="3"/>
        <v>1.7410731700650226</v>
      </c>
      <c r="V21" s="93">
        <f t="shared" si="75"/>
        <v>0.52827878968713904</v>
      </c>
      <c r="W21" s="92">
        <f t="shared" si="76"/>
        <v>0.46560760193960943</v>
      </c>
      <c r="X21" s="117">
        <f t="shared" si="4"/>
        <v>0.64484356894553885</v>
      </c>
      <c r="Y21" s="103">
        <f t="shared" si="5"/>
        <v>0.27384408210766303</v>
      </c>
      <c r="Z21" s="103">
        <f t="shared" si="6"/>
        <v>0.57207282093296397</v>
      </c>
      <c r="AA21" s="118">
        <f t="shared" si="7"/>
        <v>0.2779699848008757</v>
      </c>
      <c r="AB21" s="117">
        <f t="shared" si="8"/>
        <v>0.64484356894553885</v>
      </c>
      <c r="AC21" s="103">
        <f t="shared" si="9"/>
        <v>0.27384408210766303</v>
      </c>
      <c r="AD21" s="103">
        <f t="shared" si="10"/>
        <v>0.57207282093296397</v>
      </c>
      <c r="AE21" s="118">
        <f t="shared" si="11"/>
        <v>0.2779699848008757</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21">
        <f t="shared" si="28"/>
        <v>2.481380731098147E-2</v>
      </c>
      <c r="AW21" s="21">
        <f t="shared" si="77"/>
        <v>0</v>
      </c>
      <c r="AX21" s="139">
        <f t="shared" si="29"/>
        <v>0</v>
      </c>
      <c r="AY21" s="140">
        <v>17</v>
      </c>
      <c r="AZ21" s="141">
        <f t="shared" si="30"/>
        <v>0</v>
      </c>
      <c r="BA21" s="19">
        <f t="shared" si="31"/>
        <v>11.862685875806481</v>
      </c>
      <c r="BB21" s="142">
        <f t="shared" si="32"/>
        <v>4.3773310881725907E-3</v>
      </c>
      <c r="BC21" s="19">
        <f t="shared" si="78"/>
        <v>14.877306094076154</v>
      </c>
      <c r="BD21" s="79">
        <f t="shared" si="33"/>
        <v>5.4897259487141012E-3</v>
      </c>
      <c r="BE21" s="144">
        <f t="shared" si="34"/>
        <v>8.7220338839930894E-3</v>
      </c>
      <c r="BF21" s="148">
        <f t="shared" si="35"/>
        <v>7.0648474460344038E-3</v>
      </c>
      <c r="BG21" s="144">
        <f t="shared" si="36"/>
        <v>9.3302103059902303E-2</v>
      </c>
      <c r="BH21" s="152">
        <f t="shared" si="37"/>
        <v>2.883681099756058E-2</v>
      </c>
      <c r="BI21" s="28">
        <f t="shared" si="38"/>
        <v>9.3302103059902303E-2</v>
      </c>
      <c r="BJ21" s="29">
        <f t="shared" si="39"/>
        <v>2.883681099756058E-2</v>
      </c>
      <c r="BK21" s="28">
        <f t="shared" si="40"/>
        <v>0</v>
      </c>
      <c r="BL21" s="29">
        <f t="shared" si="41"/>
        <v>0</v>
      </c>
      <c r="BM21" s="28">
        <f t="shared" si="42"/>
        <v>0</v>
      </c>
      <c r="BN21" s="29">
        <f t="shared" si="43"/>
        <v>0</v>
      </c>
      <c r="BO21" s="28">
        <f t="shared" si="44"/>
        <v>0</v>
      </c>
      <c r="BP21" s="29">
        <f t="shared" si="45"/>
        <v>0</v>
      </c>
      <c r="BQ21" s="150">
        <f t="shared" si="46"/>
        <v>0</v>
      </c>
      <c r="BR21" s="29">
        <f t="shared" si="47"/>
        <v>0</v>
      </c>
      <c r="BS21" s="91">
        <f t="shared" si="79"/>
        <v>0.2600647094449533</v>
      </c>
      <c r="BT21" s="206">
        <f t="shared" si="80"/>
        <v>0.2600647094449533</v>
      </c>
      <c r="BU21" s="206">
        <f t="shared" si="81"/>
        <v>0.2600647094449533</v>
      </c>
      <c r="BV21" s="97">
        <f t="shared" si="82"/>
        <v>0.26444204053312587</v>
      </c>
      <c r="BW21" s="123">
        <f t="shared" si="83"/>
        <v>0.26555443539366741</v>
      </c>
      <c r="BX21" s="91">
        <f>(M21^2)*'Fly-Buck_Calc'!$B$80</f>
        <v>4.360162845454831E-3</v>
      </c>
      <c r="BY21" s="92">
        <f t="shared" si="48"/>
        <v>5.0000000000000001E-3</v>
      </c>
      <c r="BZ21" s="92">
        <f t="shared" si="49"/>
        <v>5.0000000000000001E-3</v>
      </c>
      <c r="CA21" s="92">
        <f t="shared" si="50"/>
        <v>0</v>
      </c>
      <c r="CB21" s="92">
        <f t="shared" si="51"/>
        <v>0</v>
      </c>
      <c r="CC21" s="92">
        <f t="shared" si="52"/>
        <v>0</v>
      </c>
      <c r="CD21" s="92">
        <f t="shared" si="53"/>
        <v>0</v>
      </c>
      <c r="CE21" s="127">
        <f t="shared" si="84"/>
        <v>1.436016284545483E-2</v>
      </c>
      <c r="CF21" s="91">
        <f t="shared" si="85"/>
        <v>1.8063531788312867E-2</v>
      </c>
      <c r="CG21" s="92">
        <f t="shared" si="54"/>
        <v>0.11129999999999998</v>
      </c>
      <c r="CH21" s="206">
        <f t="shared" si="55"/>
        <v>8.3333333333333332E-3</v>
      </c>
      <c r="CI21" s="92">
        <f t="shared" si="56"/>
        <v>0.13355999999999998</v>
      </c>
      <c r="CJ21" s="93">
        <f t="shared" si="57"/>
        <v>0.09</v>
      </c>
      <c r="CK21" s="92">
        <f t="shared" si="58"/>
        <v>0.36125686512164612</v>
      </c>
      <c r="CL21" s="188">
        <f t="shared" si="59"/>
        <v>0.15</v>
      </c>
      <c r="CM21" s="206">
        <f t="shared" si="60"/>
        <v>0.15</v>
      </c>
      <c r="CN21" s="206">
        <f t="shared" si="61"/>
        <v>0</v>
      </c>
      <c r="CO21" s="206">
        <f t="shared" si="62"/>
        <v>0</v>
      </c>
      <c r="CP21" s="206">
        <f t="shared" si="63"/>
        <v>0</v>
      </c>
      <c r="CQ21" s="227">
        <f t="shared" si="64"/>
        <v>0</v>
      </c>
      <c r="CR21" s="231">
        <f t="shared" si="86"/>
        <v>0.3</v>
      </c>
      <c r="CS21" s="206">
        <f t="shared" si="65"/>
        <v>0.67561702796710099</v>
      </c>
      <c r="CT21" s="206">
        <f t="shared" si="66"/>
        <v>5.6756170279671014</v>
      </c>
      <c r="CU21" s="206">
        <f t="shared" si="67"/>
        <v>0.88096148407513419</v>
      </c>
      <c r="CV21">
        <f t="shared" si="68"/>
        <v>22.259999999999998</v>
      </c>
    </row>
    <row r="22" spans="1:100" x14ac:dyDescent="0.25">
      <c r="A22" s="12" t="s">
        <v>316</v>
      </c>
      <c r="B22" s="12">
        <f>IF(AND(VoutPri_FB&gt;0,Vout6&lt;&gt;0),((ABS(Vout6)+Vdiode6)/ABS(VoutPri_FB))*Np,0)</f>
        <v>0</v>
      </c>
      <c r="C22" s="12"/>
      <c r="K22">
        <v>18</v>
      </c>
      <c r="L22" s="91">
        <f t="shared" si="0"/>
        <v>23.04</v>
      </c>
      <c r="M22" s="93">
        <f t="shared" si="1"/>
        <v>0.24112654320987653</v>
      </c>
      <c r="N22" s="122">
        <f t="shared" si="69"/>
        <v>6.8395013199782587E-5</v>
      </c>
      <c r="O22" s="97">
        <f t="shared" si="70"/>
        <v>6.1555511879804334E-5</v>
      </c>
      <c r="P22" s="123">
        <f t="shared" si="71"/>
        <v>5.595955625436757E-5</v>
      </c>
      <c r="Q22" s="127">
        <f t="shared" si="72"/>
        <v>0.2170138888888889</v>
      </c>
      <c r="R22" s="91">
        <f t="shared" si="73"/>
        <v>1.1111111111111109</v>
      </c>
      <c r="S22" s="92">
        <f t="shared" si="2"/>
        <v>0.31070877425044091</v>
      </c>
      <c r="T22" s="92">
        <f t="shared" si="74"/>
        <v>1.2664654982363315</v>
      </c>
      <c r="U22" s="92">
        <f t="shared" si="3"/>
        <v>1.7265384622587967</v>
      </c>
      <c r="V22" s="93">
        <f t="shared" si="75"/>
        <v>0.51929207295960422</v>
      </c>
      <c r="W22" s="92">
        <f t="shared" si="76"/>
        <v>0.45991547832002616</v>
      </c>
      <c r="X22" s="117">
        <f t="shared" si="4"/>
        <v>0.63858093126385806</v>
      </c>
      <c r="Y22" s="103">
        <f t="shared" si="5"/>
        <v>0.27652970296408058</v>
      </c>
      <c r="Z22" s="103">
        <f t="shared" si="6"/>
        <v>0.56945584400905291</v>
      </c>
      <c r="AA22" s="118">
        <f t="shared" si="7"/>
        <v>0.272543497952277</v>
      </c>
      <c r="AB22" s="117">
        <f t="shared" si="8"/>
        <v>0.63858093126385806</v>
      </c>
      <c r="AC22" s="103">
        <f t="shared" si="9"/>
        <v>0.27652970296408058</v>
      </c>
      <c r="AD22" s="103">
        <f t="shared" si="10"/>
        <v>0.56945584400905291</v>
      </c>
      <c r="AE22" s="118">
        <f t="shared" si="11"/>
        <v>0.272543497952277</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21">
        <f t="shared" si="28"/>
        <v>2.5057159213745232E-2</v>
      </c>
      <c r="AW22" s="21">
        <f t="shared" si="77"/>
        <v>0</v>
      </c>
      <c r="AX22" s="139">
        <f t="shared" si="29"/>
        <v>0</v>
      </c>
      <c r="AY22" s="140">
        <v>18</v>
      </c>
      <c r="AZ22" s="141">
        <f t="shared" si="30"/>
        <v>0</v>
      </c>
      <c r="BA22" s="19">
        <f t="shared" si="31"/>
        <v>12.174671349747657</v>
      </c>
      <c r="BB22" s="142">
        <f t="shared" si="32"/>
        <v>4.4924537280568852E-3</v>
      </c>
      <c r="BC22" s="19">
        <f t="shared" si="78"/>
        <v>15.238802101225435</v>
      </c>
      <c r="BD22" s="79">
        <f t="shared" si="33"/>
        <v>5.6231179753521857E-3</v>
      </c>
      <c r="BE22" s="144">
        <f t="shared" si="34"/>
        <v>8.1414758695929137E-3</v>
      </c>
      <c r="BF22" s="148">
        <f t="shared" si="35"/>
        <v>6.5945954543702601E-3</v>
      </c>
      <c r="BG22" s="144">
        <f t="shared" si="36"/>
        <v>9.3302103059902303E-2</v>
      </c>
      <c r="BH22" s="152">
        <f t="shared" si="37"/>
        <v>2.7721905289433826E-2</v>
      </c>
      <c r="BI22" s="28">
        <f t="shared" si="38"/>
        <v>9.3302103059902303E-2</v>
      </c>
      <c r="BJ22" s="29">
        <f t="shared" si="39"/>
        <v>2.7721905289433826E-2</v>
      </c>
      <c r="BK22" s="28">
        <f t="shared" si="40"/>
        <v>0</v>
      </c>
      <c r="BL22" s="29">
        <f t="shared" si="41"/>
        <v>0</v>
      </c>
      <c r="BM22" s="28">
        <f t="shared" si="42"/>
        <v>0</v>
      </c>
      <c r="BN22" s="29">
        <f t="shared" si="43"/>
        <v>0</v>
      </c>
      <c r="BO22" s="28">
        <f t="shared" si="44"/>
        <v>0</v>
      </c>
      <c r="BP22" s="29">
        <f t="shared" si="45"/>
        <v>0</v>
      </c>
      <c r="BQ22" s="150">
        <f t="shared" si="46"/>
        <v>0</v>
      </c>
      <c r="BR22" s="29">
        <f t="shared" si="47"/>
        <v>0</v>
      </c>
      <c r="BS22" s="91">
        <f t="shared" si="79"/>
        <v>0.25678408802263541</v>
      </c>
      <c r="BT22" s="206">
        <f t="shared" si="80"/>
        <v>0.25678408802263541</v>
      </c>
      <c r="BU22" s="206">
        <f t="shared" si="81"/>
        <v>0.25678408802263541</v>
      </c>
      <c r="BV22" s="97">
        <f t="shared" si="82"/>
        <v>0.26127654175069231</v>
      </c>
      <c r="BW22" s="123">
        <f t="shared" si="83"/>
        <v>0.26240720599798761</v>
      </c>
      <c r="BX22" s="91">
        <f>(M22^2)*'Fly-Buck_Calc'!$B$80</f>
        <v>4.0699406888241125E-3</v>
      </c>
      <c r="BY22" s="92">
        <f t="shared" si="48"/>
        <v>5.0000000000000001E-3</v>
      </c>
      <c r="BZ22" s="92">
        <f t="shared" si="49"/>
        <v>5.0000000000000001E-3</v>
      </c>
      <c r="CA22" s="92">
        <f t="shared" si="50"/>
        <v>0</v>
      </c>
      <c r="CB22" s="92">
        <f t="shared" si="51"/>
        <v>0</v>
      </c>
      <c r="CC22" s="92">
        <f t="shared" si="52"/>
        <v>0</v>
      </c>
      <c r="CD22" s="92">
        <f t="shared" si="53"/>
        <v>0</v>
      </c>
      <c r="CE22" s="127">
        <f t="shared" si="84"/>
        <v>1.4069940688824112E-2</v>
      </c>
      <c r="CF22" s="91">
        <f t="shared" si="85"/>
        <v>1.6861182853699891E-2</v>
      </c>
      <c r="CG22" s="92">
        <f t="shared" si="54"/>
        <v>0.11519999999999998</v>
      </c>
      <c r="CH22" s="206">
        <f t="shared" si="55"/>
        <v>8.3333333333333332E-3</v>
      </c>
      <c r="CI22" s="92">
        <f t="shared" si="56"/>
        <v>0.13824</v>
      </c>
      <c r="CJ22" s="93">
        <f t="shared" si="57"/>
        <v>0.09</v>
      </c>
      <c r="CK22" s="92">
        <f t="shared" si="58"/>
        <v>0.36863451618703325</v>
      </c>
      <c r="CL22" s="188">
        <f t="shared" si="59"/>
        <v>0.15</v>
      </c>
      <c r="CM22" s="206">
        <f t="shared" si="60"/>
        <v>0.15</v>
      </c>
      <c r="CN22" s="206">
        <f t="shared" si="61"/>
        <v>0</v>
      </c>
      <c r="CO22" s="206">
        <f t="shared" si="62"/>
        <v>0</v>
      </c>
      <c r="CP22" s="206">
        <f t="shared" si="63"/>
        <v>0</v>
      </c>
      <c r="CQ22" s="227">
        <f t="shared" si="64"/>
        <v>0</v>
      </c>
      <c r="CR22" s="231">
        <f t="shared" si="86"/>
        <v>0.3</v>
      </c>
      <c r="CS22" s="206">
        <f t="shared" si="65"/>
        <v>0.68270445687585735</v>
      </c>
      <c r="CT22" s="206">
        <f t="shared" si="66"/>
        <v>5.6827044568758573</v>
      </c>
      <c r="CU22" s="206">
        <f t="shared" si="67"/>
        <v>0.87986275512712775</v>
      </c>
      <c r="CV22">
        <f t="shared" si="68"/>
        <v>23.04</v>
      </c>
    </row>
    <row r="23" spans="1:100" x14ac:dyDescent="0.25">
      <c r="A23" s="12" t="s">
        <v>317</v>
      </c>
      <c r="B23" s="12">
        <f>IF(n6_FlyB_Calc&lt;&gt;0,n6_FlyB/Np,0)</f>
        <v>0</v>
      </c>
      <c r="C23" s="12"/>
      <c r="K23">
        <v>19</v>
      </c>
      <c r="L23" s="91">
        <f t="shared" si="0"/>
        <v>23.82</v>
      </c>
      <c r="M23" s="93">
        <f t="shared" si="1"/>
        <v>0.23323071182013244</v>
      </c>
      <c r="N23" s="122">
        <f t="shared" si="69"/>
        <v>6.9015754661240456E-5</v>
      </c>
      <c r="O23" s="97">
        <f t="shared" si="70"/>
        <v>6.2114179195116409E-5</v>
      </c>
      <c r="P23" s="123">
        <f t="shared" si="71"/>
        <v>5.6467435631923994E-5</v>
      </c>
      <c r="Q23" s="127">
        <f t="shared" si="72"/>
        <v>0.20990764063811923</v>
      </c>
      <c r="R23" s="91">
        <f t="shared" si="73"/>
        <v>1.1111111111111109</v>
      </c>
      <c r="S23" s="92">
        <f t="shared" si="2"/>
        <v>0.31352871403249238</v>
      </c>
      <c r="T23" s="92">
        <f t="shared" si="74"/>
        <v>1.2678754681273572</v>
      </c>
      <c r="U23" s="92">
        <f t="shared" si="3"/>
        <v>1.7128944062357612</v>
      </c>
      <c r="V23" s="93">
        <f t="shared" si="75"/>
        <v>0.51074918818416915</v>
      </c>
      <c r="W23" s="92">
        <f t="shared" si="76"/>
        <v>0.454387685016509</v>
      </c>
      <c r="X23" s="117">
        <f t="shared" si="4"/>
        <v>0.63283740701381519</v>
      </c>
      <c r="Y23" s="103">
        <f t="shared" si="5"/>
        <v>0.27903943933116088</v>
      </c>
      <c r="Z23" s="103">
        <f t="shared" si="6"/>
        <v>0.56704963115641138</v>
      </c>
      <c r="AA23" s="118">
        <f t="shared" si="7"/>
        <v>0.26747950238218665</v>
      </c>
      <c r="AB23" s="117">
        <f t="shared" si="8"/>
        <v>0.63283740701381519</v>
      </c>
      <c r="AC23" s="103">
        <f t="shared" si="9"/>
        <v>0.27903943933116088</v>
      </c>
      <c r="AD23" s="103">
        <f t="shared" si="10"/>
        <v>0.56704963115641138</v>
      </c>
      <c r="AE23" s="118">
        <f t="shared" si="11"/>
        <v>0.26747950238218665</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21">
        <f t="shared" si="28"/>
        <v>2.5284573712297774E-2</v>
      </c>
      <c r="AW23" s="21">
        <f t="shared" si="77"/>
        <v>0</v>
      </c>
      <c r="AX23" s="139">
        <f t="shared" si="29"/>
        <v>0</v>
      </c>
      <c r="AY23" s="140">
        <v>19</v>
      </c>
      <c r="AZ23" s="141">
        <f t="shared" si="30"/>
        <v>0</v>
      </c>
      <c r="BA23" s="19">
        <f t="shared" si="31"/>
        <v>12.470807162306935</v>
      </c>
      <c r="BB23" s="142">
        <f t="shared" si="32"/>
        <v>4.6017278428912584E-3</v>
      </c>
      <c r="BC23" s="19">
        <f t="shared" si="78"/>
        <v>15.581289101179596</v>
      </c>
      <c r="BD23" s="79">
        <f t="shared" si="33"/>
        <v>5.7494956783352711E-3</v>
      </c>
      <c r="BE23" s="144">
        <f t="shared" si="34"/>
        <v>7.6170108675690622E-3</v>
      </c>
      <c r="BF23" s="148">
        <f t="shared" si="35"/>
        <v>6.1697788027309424E-3</v>
      </c>
      <c r="BG23" s="144">
        <f t="shared" si="36"/>
        <v>9.3302103059902303E-2</v>
      </c>
      <c r="BH23" s="152">
        <f t="shared" si="37"/>
        <v>2.6701301917506557E-2</v>
      </c>
      <c r="BI23" s="28">
        <f t="shared" si="38"/>
        <v>9.3302103059902303E-2</v>
      </c>
      <c r="BJ23" s="29">
        <f t="shared" si="39"/>
        <v>2.6701301917506557E-2</v>
      </c>
      <c r="BK23" s="28">
        <f t="shared" si="40"/>
        <v>0</v>
      </c>
      <c r="BL23" s="29">
        <f t="shared" si="41"/>
        <v>0</v>
      </c>
      <c r="BM23" s="28">
        <f t="shared" si="42"/>
        <v>0</v>
      </c>
      <c r="BN23" s="29">
        <f t="shared" si="43"/>
        <v>0</v>
      </c>
      <c r="BO23" s="28">
        <f t="shared" si="44"/>
        <v>0</v>
      </c>
      <c r="BP23" s="29">
        <f t="shared" si="45"/>
        <v>0</v>
      </c>
      <c r="BQ23" s="150">
        <f t="shared" si="46"/>
        <v>0</v>
      </c>
      <c r="BR23" s="29">
        <f t="shared" si="47"/>
        <v>0</v>
      </c>
      <c r="BS23" s="91">
        <f t="shared" si="79"/>
        <v>0.25379359962511772</v>
      </c>
      <c r="BT23" s="206">
        <f t="shared" si="80"/>
        <v>0.25379359962511772</v>
      </c>
      <c r="BU23" s="206">
        <f t="shared" si="81"/>
        <v>0.25379359962511772</v>
      </c>
      <c r="BV23" s="97">
        <f t="shared" si="82"/>
        <v>0.25839532746800897</v>
      </c>
      <c r="BW23" s="123">
        <f t="shared" si="83"/>
        <v>0.25954309530345299</v>
      </c>
      <c r="BX23" s="91">
        <f>(M23^2)*'Fly-Buck_Calc'!$B$80</f>
        <v>3.807759545528797E-3</v>
      </c>
      <c r="BY23" s="92">
        <f t="shared" si="48"/>
        <v>5.0000000000000001E-3</v>
      </c>
      <c r="BZ23" s="92">
        <f t="shared" si="49"/>
        <v>5.0000000000000001E-3</v>
      </c>
      <c r="CA23" s="92">
        <f t="shared" si="50"/>
        <v>0</v>
      </c>
      <c r="CB23" s="92">
        <f t="shared" si="51"/>
        <v>0</v>
      </c>
      <c r="CC23" s="92">
        <f t="shared" si="52"/>
        <v>0</v>
      </c>
      <c r="CD23" s="92">
        <f t="shared" si="53"/>
        <v>0</v>
      </c>
      <c r="CE23" s="127">
        <f t="shared" si="84"/>
        <v>1.3807759545528799E-2</v>
      </c>
      <c r="CF23" s="91">
        <f t="shared" si="85"/>
        <v>1.5775003831476443E-2</v>
      </c>
      <c r="CG23" s="92">
        <f t="shared" si="54"/>
        <v>0.11909999999999998</v>
      </c>
      <c r="CH23" s="206">
        <f t="shared" si="55"/>
        <v>8.3333333333333332E-3</v>
      </c>
      <c r="CI23" s="92">
        <f t="shared" si="56"/>
        <v>0.14291999999999999</v>
      </c>
      <c r="CJ23" s="93">
        <f t="shared" si="57"/>
        <v>0.09</v>
      </c>
      <c r="CK23" s="92">
        <f t="shared" si="58"/>
        <v>0.37612833716480976</v>
      </c>
      <c r="CL23" s="188">
        <f t="shared" si="59"/>
        <v>0.15</v>
      </c>
      <c r="CM23" s="206">
        <f t="shared" si="60"/>
        <v>0.15</v>
      </c>
      <c r="CN23" s="206">
        <f t="shared" si="61"/>
        <v>0</v>
      </c>
      <c r="CO23" s="206">
        <f t="shared" si="62"/>
        <v>0</v>
      </c>
      <c r="CP23" s="206">
        <f t="shared" si="63"/>
        <v>0</v>
      </c>
      <c r="CQ23" s="227">
        <f t="shared" si="64"/>
        <v>0</v>
      </c>
      <c r="CR23" s="231">
        <f t="shared" si="86"/>
        <v>0.3</v>
      </c>
      <c r="CS23" s="206">
        <f t="shared" si="65"/>
        <v>0.68993609671033851</v>
      </c>
      <c r="CT23" s="206">
        <f t="shared" si="66"/>
        <v>5.6899360967103387</v>
      </c>
      <c r="CU23" s="206">
        <f t="shared" si="67"/>
        <v>0.87874449115356001</v>
      </c>
      <c r="CV23">
        <f t="shared" si="68"/>
        <v>23.82</v>
      </c>
    </row>
    <row r="24" spans="1:100" x14ac:dyDescent="0.25">
      <c r="A24" s="310" t="s">
        <v>32</v>
      </c>
      <c r="B24" s="310"/>
      <c r="C24" s="12"/>
      <c r="K24">
        <v>20</v>
      </c>
      <c r="L24" s="91">
        <f t="shared" si="0"/>
        <v>24.6</v>
      </c>
      <c r="M24" s="93">
        <f t="shared" si="1"/>
        <v>0.22583559168925021</v>
      </c>
      <c r="N24" s="122">
        <f t="shared" si="69"/>
        <v>6.9597132030020507E-5</v>
      </c>
      <c r="O24" s="97">
        <f t="shared" si="70"/>
        <v>6.2637418827018453E-5</v>
      </c>
      <c r="P24" s="123">
        <f t="shared" si="71"/>
        <v>5.6943108024562223E-5</v>
      </c>
      <c r="Q24" s="127">
        <f t="shared" si="72"/>
        <v>0.2032520325203252</v>
      </c>
      <c r="R24" s="91">
        <f t="shared" si="73"/>
        <v>1.1111111111111112</v>
      </c>
      <c r="S24" s="92">
        <f t="shared" si="2"/>
        <v>0.31616982836495033</v>
      </c>
      <c r="T24" s="92">
        <f t="shared" si="74"/>
        <v>1.2691960252935863</v>
      </c>
      <c r="U24" s="92">
        <f t="shared" si="3"/>
        <v>1.7000539934238548</v>
      </c>
      <c r="V24" s="93">
        <f t="shared" si="75"/>
        <v>0.50261474466829958</v>
      </c>
      <c r="W24" s="92">
        <f t="shared" si="76"/>
        <v>0.44902100962465691</v>
      </c>
      <c r="X24" s="117">
        <f t="shared" si="4"/>
        <v>0.62755102040816324</v>
      </c>
      <c r="Y24" s="103">
        <f t="shared" si="5"/>
        <v>0.28139002168471905</v>
      </c>
      <c r="Z24" s="103">
        <f t="shared" si="6"/>
        <v>0.56482983431865807</v>
      </c>
      <c r="AA24" s="118">
        <f t="shared" si="7"/>
        <v>0.26274082616990219</v>
      </c>
      <c r="AB24" s="117">
        <f t="shared" si="8"/>
        <v>0.62755102040816324</v>
      </c>
      <c r="AC24" s="103">
        <f t="shared" si="9"/>
        <v>0.28139002168471905</v>
      </c>
      <c r="AD24" s="103">
        <f t="shared" si="10"/>
        <v>0.56482983431865807</v>
      </c>
      <c r="AE24" s="118">
        <f t="shared" si="11"/>
        <v>0.26274082616990219</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21">
        <f t="shared" si="28"/>
        <v>2.5497566803625027E-2</v>
      </c>
      <c r="AW24" s="21">
        <f t="shared" si="77"/>
        <v>0</v>
      </c>
      <c r="AX24" s="139">
        <f t="shared" si="29"/>
        <v>0</v>
      </c>
      <c r="AY24" s="140">
        <v>20</v>
      </c>
      <c r="AZ24" s="141">
        <f t="shared" si="30"/>
        <v>0</v>
      </c>
      <c r="BA24" s="19">
        <f t="shared" si="31"/>
        <v>12.752202950242404</v>
      </c>
      <c r="BB24" s="142">
        <f t="shared" si="32"/>
        <v>4.7055628886394467E-3</v>
      </c>
      <c r="BC24" s="19">
        <f t="shared" si="78"/>
        <v>15.906162588800889</v>
      </c>
      <c r="BD24" s="79">
        <f t="shared" si="33"/>
        <v>5.8693739952675288E-3</v>
      </c>
      <c r="BE24" s="144">
        <f t="shared" si="34"/>
        <v>7.1416387021219071E-3</v>
      </c>
      <c r="BF24" s="148">
        <f t="shared" si="35"/>
        <v>5.7847273487187448E-3</v>
      </c>
      <c r="BG24" s="144">
        <f t="shared" si="36"/>
        <v>9.3302103059902303E-2</v>
      </c>
      <c r="BH24" s="152">
        <f t="shared" si="37"/>
        <v>2.5763599936004807E-2</v>
      </c>
      <c r="BI24" s="28">
        <f t="shared" si="38"/>
        <v>9.3302103059902303E-2</v>
      </c>
      <c r="BJ24" s="29">
        <f t="shared" si="39"/>
        <v>2.5763599936004807E-2</v>
      </c>
      <c r="BK24" s="28">
        <f t="shared" si="40"/>
        <v>0</v>
      </c>
      <c r="BL24" s="29">
        <f t="shared" si="41"/>
        <v>0</v>
      </c>
      <c r="BM24" s="28">
        <f t="shared" si="42"/>
        <v>0</v>
      </c>
      <c r="BN24" s="29">
        <f t="shared" si="43"/>
        <v>0</v>
      </c>
      <c r="BO24" s="28">
        <f t="shared" si="44"/>
        <v>0</v>
      </c>
      <c r="BP24" s="29">
        <f t="shared" si="45"/>
        <v>0</v>
      </c>
      <c r="BQ24" s="150">
        <f t="shared" si="46"/>
        <v>0</v>
      </c>
      <c r="BR24" s="29">
        <f t="shared" si="47"/>
        <v>0</v>
      </c>
      <c r="BS24" s="91">
        <f t="shared" si="79"/>
        <v>0.25105777204265489</v>
      </c>
      <c r="BT24" s="206">
        <f t="shared" si="80"/>
        <v>0.25105777204265489</v>
      </c>
      <c r="BU24" s="206">
        <f t="shared" si="81"/>
        <v>0.25105777204265489</v>
      </c>
      <c r="BV24" s="97">
        <f t="shared" si="82"/>
        <v>0.25576333493129433</v>
      </c>
      <c r="BW24" s="123">
        <f t="shared" si="83"/>
        <v>0.25692714603792244</v>
      </c>
      <c r="BX24" s="91">
        <f>(M24^2)*'Fly-Buck_Calc'!$B$80</f>
        <v>3.5701200131543621E-3</v>
      </c>
      <c r="BY24" s="92">
        <f t="shared" si="48"/>
        <v>5.0000000000000001E-3</v>
      </c>
      <c r="BZ24" s="92">
        <f t="shared" si="49"/>
        <v>5.0000000000000001E-3</v>
      </c>
      <c r="CA24" s="92">
        <f t="shared" si="50"/>
        <v>0</v>
      </c>
      <c r="CB24" s="92">
        <f t="shared" si="51"/>
        <v>0</v>
      </c>
      <c r="CC24" s="92">
        <f t="shared" si="52"/>
        <v>0</v>
      </c>
      <c r="CD24" s="92">
        <f t="shared" si="53"/>
        <v>0</v>
      </c>
      <c r="CE24" s="127">
        <f t="shared" si="84"/>
        <v>1.3570120013154361E-2</v>
      </c>
      <c r="CF24" s="91">
        <f t="shared" si="85"/>
        <v>1.4790497197353784E-2</v>
      </c>
      <c r="CG24" s="92">
        <f t="shared" si="54"/>
        <v>0.12300000000000003</v>
      </c>
      <c r="CH24" s="206">
        <f t="shared" si="55"/>
        <v>8.333333333333335E-3</v>
      </c>
      <c r="CI24" s="92">
        <f t="shared" si="56"/>
        <v>0.14760000000000001</v>
      </c>
      <c r="CJ24" s="93">
        <f t="shared" si="57"/>
        <v>0.09</v>
      </c>
      <c r="CK24" s="92">
        <f t="shared" si="58"/>
        <v>0.38372383053068715</v>
      </c>
      <c r="CL24" s="188">
        <f t="shared" si="59"/>
        <v>0.15</v>
      </c>
      <c r="CM24" s="206">
        <f t="shared" si="60"/>
        <v>0.15</v>
      </c>
      <c r="CN24" s="206">
        <f t="shared" si="61"/>
        <v>0</v>
      </c>
      <c r="CO24" s="206">
        <f t="shared" si="62"/>
        <v>0</v>
      </c>
      <c r="CP24" s="206">
        <f t="shared" si="63"/>
        <v>0</v>
      </c>
      <c r="CQ24" s="227">
        <f t="shared" si="64"/>
        <v>0</v>
      </c>
      <c r="CR24" s="231">
        <f t="shared" si="86"/>
        <v>0.3</v>
      </c>
      <c r="CS24" s="206">
        <f t="shared" si="65"/>
        <v>0.69729395054384158</v>
      </c>
      <c r="CT24" s="206">
        <f t="shared" si="66"/>
        <v>5.6972939505438411</v>
      </c>
      <c r="CU24" s="206">
        <f t="shared" si="67"/>
        <v>0.87760962369208984</v>
      </c>
      <c r="CV24">
        <f t="shared" si="68"/>
        <v>24.6</v>
      </c>
    </row>
    <row r="25" spans="1:100" x14ac:dyDescent="0.25">
      <c r="A25" s="12" t="s">
        <v>325</v>
      </c>
      <c r="B25" s="19">
        <f>Lm_FlyB</f>
        <v>4.1999999999999998E-5</v>
      </c>
      <c r="C25" s="12" t="s">
        <v>319</v>
      </c>
      <c r="E25" t="s">
        <v>34</v>
      </c>
      <c r="F25" s="2">
        <f>IF(VoutPri_FB&gt;0,(VoutPri_FB/(RR*ILavg_FlyB*Fsw))*(1-(VoutPri_FB/VinMin)),0)</f>
        <v>3.4940600978336826E-5</v>
      </c>
      <c r="K25">
        <v>21</v>
      </c>
      <c r="L25" s="91">
        <f t="shared" si="0"/>
        <v>25.38</v>
      </c>
      <c r="M25" s="93">
        <f t="shared" si="1"/>
        <v>0.21889501794939148</v>
      </c>
      <c r="N25" s="122">
        <f t="shared" si="69"/>
        <v>7.0142774619632036E-5</v>
      </c>
      <c r="O25" s="97">
        <f t="shared" si="70"/>
        <v>6.3128497157668829E-5</v>
      </c>
      <c r="P25" s="123">
        <f t="shared" si="71"/>
        <v>5.738954287060802E-5</v>
      </c>
      <c r="Q25" s="127">
        <f t="shared" si="72"/>
        <v>0.19700551615445233</v>
      </c>
      <c r="R25" s="91">
        <f t="shared" si="73"/>
        <v>1.1111111111111112</v>
      </c>
      <c r="S25" s="92">
        <f t="shared" si="2"/>
        <v>0.31864860470061412</v>
      </c>
      <c r="T25" s="92">
        <f t="shared" si="74"/>
        <v>1.2704354134614182</v>
      </c>
      <c r="U25" s="92">
        <f t="shared" si="3"/>
        <v>1.6879416800961031</v>
      </c>
      <c r="V25" s="93">
        <f t="shared" si="75"/>
        <v>0.49485718270311113</v>
      </c>
      <c r="W25" s="92">
        <f t="shared" si="76"/>
        <v>0.44381144914230852</v>
      </c>
      <c r="X25" s="117">
        <f t="shared" si="4"/>
        <v>0.62266928361138374</v>
      </c>
      <c r="Y25" s="103">
        <f t="shared" si="5"/>
        <v>0.28359612379905136</v>
      </c>
      <c r="Z25" s="103">
        <f t="shared" si="6"/>
        <v>0.562775706317449</v>
      </c>
      <c r="AA25" s="118">
        <f t="shared" si="7"/>
        <v>0.25829536507863166</v>
      </c>
      <c r="AB25" s="117">
        <f t="shared" si="8"/>
        <v>0.62266928361138374</v>
      </c>
      <c r="AC25" s="103">
        <f t="shared" si="9"/>
        <v>0.28359612379905136</v>
      </c>
      <c r="AD25" s="103">
        <f t="shared" si="10"/>
        <v>0.562775706317449</v>
      </c>
      <c r="AE25" s="118">
        <f t="shared" si="11"/>
        <v>0.25829536507863166</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21">
        <f t="shared" si="28"/>
        <v>2.5697468121017267E-2</v>
      </c>
      <c r="AW25" s="21">
        <f t="shared" si="77"/>
        <v>0</v>
      </c>
      <c r="AX25" s="139">
        <f t="shared" si="29"/>
        <v>0</v>
      </c>
      <c r="AY25" s="140">
        <v>21</v>
      </c>
      <c r="AZ25" s="141">
        <f t="shared" si="30"/>
        <v>0</v>
      </c>
      <c r="BA25" s="19">
        <f t="shared" si="31"/>
        <v>13.019876526580127</v>
      </c>
      <c r="BB25" s="142">
        <f t="shared" si="32"/>
        <v>4.8043344383080673E-3</v>
      </c>
      <c r="BC25" s="19">
        <f t="shared" si="78"/>
        <v>16.214693643395698</v>
      </c>
      <c r="BD25" s="79">
        <f t="shared" si="33"/>
        <v>5.9832219544130117E-3</v>
      </c>
      <c r="BE25" s="144">
        <f t="shared" si="34"/>
        <v>6.7094180698863397E-3</v>
      </c>
      <c r="BF25" s="148">
        <f t="shared" si="35"/>
        <v>5.4346286366079351E-3</v>
      </c>
      <c r="BG25" s="144">
        <f t="shared" si="36"/>
        <v>9.3302103059902303E-2</v>
      </c>
      <c r="BH25" s="152">
        <f t="shared" si="37"/>
        <v>2.4899157400942919E-2</v>
      </c>
      <c r="BI25" s="28">
        <f t="shared" si="38"/>
        <v>9.3302103059902303E-2</v>
      </c>
      <c r="BJ25" s="29">
        <f t="shared" si="39"/>
        <v>2.4899157400942919E-2</v>
      </c>
      <c r="BK25" s="28">
        <f t="shared" si="40"/>
        <v>0</v>
      </c>
      <c r="BL25" s="29">
        <f t="shared" si="41"/>
        <v>0</v>
      </c>
      <c r="BM25" s="28">
        <f t="shared" si="42"/>
        <v>0</v>
      </c>
      <c r="BN25" s="29">
        <f t="shared" si="43"/>
        <v>0</v>
      </c>
      <c r="BO25" s="28">
        <f t="shared" si="44"/>
        <v>0</v>
      </c>
      <c r="BP25" s="29">
        <f t="shared" si="45"/>
        <v>0</v>
      </c>
      <c r="BQ25" s="150">
        <f t="shared" si="46"/>
        <v>0</v>
      </c>
      <c r="BR25" s="29">
        <f t="shared" si="47"/>
        <v>0</v>
      </c>
      <c r="BS25" s="91">
        <f t="shared" si="79"/>
        <v>0.24854656762818472</v>
      </c>
      <c r="BT25" s="206">
        <f t="shared" si="80"/>
        <v>0.24854656762818472</v>
      </c>
      <c r="BU25" s="206">
        <f t="shared" si="81"/>
        <v>0.24854656762818472</v>
      </c>
      <c r="BV25" s="97">
        <f t="shared" si="82"/>
        <v>0.2533509020664928</v>
      </c>
      <c r="BW25" s="123">
        <f t="shared" si="83"/>
        <v>0.25452978958259775</v>
      </c>
      <c r="BX25" s="91">
        <f>(M25^2)*'Fly-Buck_Calc'!$B$80</f>
        <v>3.3540520218145096E-3</v>
      </c>
      <c r="BY25" s="92">
        <f t="shared" si="48"/>
        <v>5.0000000000000001E-3</v>
      </c>
      <c r="BZ25" s="92">
        <f t="shared" si="49"/>
        <v>5.0000000000000001E-3</v>
      </c>
      <c r="CA25" s="92">
        <f t="shared" si="50"/>
        <v>0</v>
      </c>
      <c r="CB25" s="92">
        <f t="shared" si="51"/>
        <v>0</v>
      </c>
      <c r="CC25" s="92">
        <f t="shared" si="52"/>
        <v>0</v>
      </c>
      <c r="CD25" s="92">
        <f t="shared" si="53"/>
        <v>0</v>
      </c>
      <c r="CE25" s="127">
        <f t="shared" si="84"/>
        <v>1.335405202181451E-2</v>
      </c>
      <c r="CF25" s="91">
        <f t="shared" si="85"/>
        <v>1.3895358376088681E-2</v>
      </c>
      <c r="CG25" s="92">
        <f t="shared" si="54"/>
        <v>0.12690000000000001</v>
      </c>
      <c r="CH25" s="206">
        <f t="shared" si="55"/>
        <v>8.333333333333335E-3</v>
      </c>
      <c r="CI25" s="92">
        <f t="shared" si="56"/>
        <v>0.15228</v>
      </c>
      <c r="CJ25" s="93">
        <f t="shared" si="57"/>
        <v>0.09</v>
      </c>
      <c r="CK25" s="92">
        <f t="shared" si="58"/>
        <v>0.39140869170942205</v>
      </c>
      <c r="CL25" s="188">
        <f t="shared" si="59"/>
        <v>0.15</v>
      </c>
      <c r="CM25" s="206">
        <f t="shared" si="60"/>
        <v>0.15</v>
      </c>
      <c r="CN25" s="206">
        <f t="shared" si="61"/>
        <v>0</v>
      </c>
      <c r="CO25" s="206">
        <f t="shared" si="62"/>
        <v>0</v>
      </c>
      <c r="CP25" s="206">
        <f t="shared" si="63"/>
        <v>0</v>
      </c>
      <c r="CQ25" s="227">
        <f t="shared" si="64"/>
        <v>0</v>
      </c>
      <c r="CR25" s="231">
        <f t="shared" si="86"/>
        <v>0.3</v>
      </c>
      <c r="CS25" s="206">
        <f t="shared" si="65"/>
        <v>0.70476274373123649</v>
      </c>
      <c r="CT25" s="206">
        <f t="shared" si="66"/>
        <v>5.7047627437312363</v>
      </c>
      <c r="CU25" s="206">
        <f t="shared" si="67"/>
        <v>0.87646063905012084</v>
      </c>
      <c r="CV25">
        <f t="shared" si="68"/>
        <v>25.38</v>
      </c>
    </row>
    <row r="26" spans="1:100" x14ac:dyDescent="0.25">
      <c r="A26" s="12" t="s">
        <v>49</v>
      </c>
      <c r="B26" s="12">
        <f>IoutPri_FB+((Ns1_FlyB/Np)*Iout1)+((Ns2_FlyB/Np)*Iout2)+((Ns3_FlyB/Np)*Iout3)+((Ns4_FlyB/Np)*Iout4)+((Ns5_FlyB/Np)*Iout5)+((Ns6_FlyB/Np)*Iout6)</f>
        <v>1.06</v>
      </c>
      <c r="C26" s="12" t="s">
        <v>6</v>
      </c>
      <c r="E26" t="s">
        <v>35</v>
      </c>
      <c r="F26" s="2">
        <f>IF(VoutPri_FB&gt;0,(VoutPri_FB/(RR*ILavg_FlyB*Fsw))*(1-(VoutPri_FB/VinNom)),0)</f>
        <v>4.585953878406708E-5</v>
      </c>
      <c r="K26">
        <v>22</v>
      </c>
      <c r="L26" s="91">
        <f t="shared" si="0"/>
        <v>26.16</v>
      </c>
      <c r="M26" s="93">
        <f t="shared" si="1"/>
        <v>0.21236833163438668</v>
      </c>
      <c r="N26" s="122">
        <f t="shared" si="69"/>
        <v>7.0655878889679588E-5</v>
      </c>
      <c r="O26" s="97">
        <f t="shared" si="70"/>
        <v>6.3590291000711625E-5</v>
      </c>
      <c r="P26" s="123">
        <f t="shared" si="71"/>
        <v>5.7809355455192381E-5</v>
      </c>
      <c r="Q26" s="127">
        <f t="shared" si="72"/>
        <v>0.19113149847094801</v>
      </c>
      <c r="R26" s="91">
        <f t="shared" si="73"/>
        <v>1.1111111111111112</v>
      </c>
      <c r="S26" s="92">
        <f t="shared" si="2"/>
        <v>0.32097956409883022</v>
      </c>
      <c r="T26" s="92">
        <f t="shared" si="74"/>
        <v>1.2716008931605263</v>
      </c>
      <c r="U26" s="92">
        <f t="shared" si="3"/>
        <v>1.6764915108944898</v>
      </c>
      <c r="V26" s="93">
        <f t="shared" si="75"/>
        <v>0.48744825608490733</v>
      </c>
      <c r="W26" s="92">
        <f t="shared" si="76"/>
        <v>0.43875448040908316</v>
      </c>
      <c r="X26" s="117">
        <f t="shared" si="4"/>
        <v>0.61814744801512289</v>
      </c>
      <c r="Y26" s="103">
        <f t="shared" si="5"/>
        <v>0.28567066936528135</v>
      </c>
      <c r="Z26" s="103">
        <f t="shared" si="6"/>
        <v>0.56086945981584069</v>
      </c>
      <c r="AA26" s="118">
        <f t="shared" si="7"/>
        <v>0.25411523164523786</v>
      </c>
      <c r="AB26" s="117">
        <f t="shared" si="8"/>
        <v>0.61814744801512289</v>
      </c>
      <c r="AC26" s="103">
        <f t="shared" si="9"/>
        <v>0.28567066936528135</v>
      </c>
      <c r="AD26" s="103">
        <f t="shared" si="10"/>
        <v>0.56086945981584069</v>
      </c>
      <c r="AE26" s="118">
        <f t="shared" si="11"/>
        <v>0.25411523164523786</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21">
        <f t="shared" si="28"/>
        <v>2.5885448717647596E-2</v>
      </c>
      <c r="AW26" s="21">
        <f t="shared" si="77"/>
        <v>0</v>
      </c>
      <c r="AX26" s="139">
        <f t="shared" si="29"/>
        <v>0</v>
      </c>
      <c r="AY26" s="140">
        <v>22</v>
      </c>
      <c r="AZ26" s="141">
        <f t="shared" si="30"/>
        <v>0</v>
      </c>
      <c r="BA26" s="19">
        <f t="shared" si="31"/>
        <v>13.274761528138638</v>
      </c>
      <c r="BB26" s="142">
        <f t="shared" si="32"/>
        <v>4.8983870038831574E-3</v>
      </c>
      <c r="BC26" s="19">
        <f t="shared" si="78"/>
        <v>16.508040955062636</v>
      </c>
      <c r="BD26" s="79">
        <f t="shared" si="33"/>
        <v>6.0914671124181127E-3</v>
      </c>
      <c r="BE26" s="144">
        <f t="shared" si="34"/>
        <v>6.3152799944590767E-3</v>
      </c>
      <c r="BF26" s="148">
        <f t="shared" si="35"/>
        <v>5.115376795511853E-3</v>
      </c>
      <c r="BG26" s="144">
        <f t="shared" si="36"/>
        <v>9.3302103059902303E-2</v>
      </c>
      <c r="BH26" s="152">
        <f t="shared" si="37"/>
        <v>2.4099765632670217E-2</v>
      </c>
      <c r="BI26" s="28">
        <f t="shared" si="38"/>
        <v>9.3302103059902303E-2</v>
      </c>
      <c r="BJ26" s="29">
        <f t="shared" si="39"/>
        <v>2.4099765632670217E-2</v>
      </c>
      <c r="BK26" s="28">
        <f t="shared" si="40"/>
        <v>0</v>
      </c>
      <c r="BL26" s="29">
        <f t="shared" si="41"/>
        <v>0</v>
      </c>
      <c r="BM26" s="28">
        <f t="shared" si="42"/>
        <v>0</v>
      </c>
      <c r="BN26" s="29">
        <f t="shared" si="43"/>
        <v>0</v>
      </c>
      <c r="BO26" s="28">
        <f t="shared" si="44"/>
        <v>0</v>
      </c>
      <c r="BP26" s="29">
        <f t="shared" si="45"/>
        <v>0</v>
      </c>
      <c r="BQ26" s="150">
        <f t="shared" si="46"/>
        <v>0</v>
      </c>
      <c r="BR26" s="29">
        <f t="shared" si="47"/>
        <v>0</v>
      </c>
      <c r="BS26" s="91">
        <f t="shared" si="79"/>
        <v>0.24623439417511597</v>
      </c>
      <c r="BT26" s="206">
        <f t="shared" si="80"/>
        <v>0.24623439417511597</v>
      </c>
      <c r="BU26" s="206">
        <f t="shared" si="81"/>
        <v>0.24623439417511597</v>
      </c>
      <c r="BV26" s="97">
        <f t="shared" si="82"/>
        <v>0.25113278117899912</v>
      </c>
      <c r="BW26" s="123">
        <f t="shared" si="83"/>
        <v>0.25232586128753409</v>
      </c>
      <c r="BX26" s="91">
        <f>(M26^2)*'Fly-Buck_Calc'!$B$80</f>
        <v>3.1570215796820991E-3</v>
      </c>
      <c r="BY26" s="92">
        <f t="shared" si="48"/>
        <v>5.0000000000000001E-3</v>
      </c>
      <c r="BZ26" s="92">
        <f t="shared" si="49"/>
        <v>5.0000000000000001E-3</v>
      </c>
      <c r="CA26" s="92">
        <f t="shared" si="50"/>
        <v>0</v>
      </c>
      <c r="CB26" s="92">
        <f t="shared" si="51"/>
        <v>0</v>
      </c>
      <c r="CC26" s="92">
        <f t="shared" si="52"/>
        <v>0</v>
      </c>
      <c r="CD26" s="92">
        <f t="shared" si="53"/>
        <v>0</v>
      </c>
      <c r="CE26" s="127">
        <f t="shared" si="84"/>
        <v>1.3157021579682099E-2</v>
      </c>
      <c r="CF26" s="91">
        <f t="shared" si="85"/>
        <v>1.3079089401540123E-2</v>
      </c>
      <c r="CG26" s="92">
        <f t="shared" si="54"/>
        <v>0.13080000000000003</v>
      </c>
      <c r="CH26" s="206">
        <f t="shared" si="55"/>
        <v>8.333333333333335E-3</v>
      </c>
      <c r="CI26" s="92">
        <f t="shared" si="56"/>
        <v>0.15696000000000002</v>
      </c>
      <c r="CJ26" s="93">
        <f t="shared" si="57"/>
        <v>0.09</v>
      </c>
      <c r="CK26" s="92">
        <f t="shared" si="58"/>
        <v>0.39917242273487352</v>
      </c>
      <c r="CL26" s="188">
        <f t="shared" si="59"/>
        <v>0.15</v>
      </c>
      <c r="CM26" s="206">
        <f t="shared" si="60"/>
        <v>0.15</v>
      </c>
      <c r="CN26" s="206">
        <f t="shared" si="61"/>
        <v>0</v>
      </c>
      <c r="CO26" s="206">
        <f t="shared" si="62"/>
        <v>0</v>
      </c>
      <c r="CP26" s="206">
        <f t="shared" si="63"/>
        <v>0</v>
      </c>
      <c r="CQ26" s="227">
        <f t="shared" si="64"/>
        <v>0</v>
      </c>
      <c r="CR26" s="231">
        <f t="shared" si="86"/>
        <v>0.3</v>
      </c>
      <c r="CS26" s="206">
        <f t="shared" si="65"/>
        <v>0.71232944431455558</v>
      </c>
      <c r="CT26" s="206">
        <f t="shared" si="66"/>
        <v>5.7123294443145554</v>
      </c>
      <c r="CU26" s="206">
        <f t="shared" si="67"/>
        <v>0.87529965642588559</v>
      </c>
      <c r="CV26">
        <f t="shared" si="68"/>
        <v>26.16</v>
      </c>
    </row>
    <row r="27" spans="1:100" x14ac:dyDescent="0.25">
      <c r="A27" s="12" t="s">
        <v>347</v>
      </c>
      <c r="B27" s="12">
        <f>MAX(T4:T54)</f>
        <v>1.28885582010582</v>
      </c>
      <c r="C27" s="12" t="s">
        <v>6</v>
      </c>
      <c r="E27" t="s">
        <v>36</v>
      </c>
      <c r="F27" s="2">
        <f>IF(VoutPri_FB&gt;0,(VoutPri_FB/(RR*ILavg_FlyB*Fsw))*(1-(VoutPri_FB/VinMax)),0)</f>
        <v>7.042714884696017E-5</v>
      </c>
      <c r="K27">
        <v>23</v>
      </c>
      <c r="L27" s="91">
        <f t="shared" si="0"/>
        <v>26.94</v>
      </c>
      <c r="M27" s="93">
        <f t="shared" si="1"/>
        <v>0.20621958261156478</v>
      </c>
      <c r="N27" s="122">
        <f t="shared" si="69"/>
        <v>7.1139271108454897E-5</v>
      </c>
      <c r="O27" s="97">
        <f t="shared" si="70"/>
        <v>6.4025343997609407E-5</v>
      </c>
      <c r="P27" s="123">
        <f t="shared" si="71"/>
        <v>5.8204858179644908E-5</v>
      </c>
      <c r="Q27" s="127">
        <f t="shared" si="72"/>
        <v>0.1855976243504083</v>
      </c>
      <c r="R27" s="91">
        <f t="shared" si="73"/>
        <v>1.1111111111111112</v>
      </c>
      <c r="S27" s="92">
        <f t="shared" si="2"/>
        <v>0.32317554589269515</v>
      </c>
      <c r="T27" s="92">
        <f t="shared" si="74"/>
        <v>1.2726988840574587</v>
      </c>
      <c r="U27" s="92">
        <f t="shared" si="3"/>
        <v>1.6656456055432711</v>
      </c>
      <c r="V27" s="93">
        <f t="shared" si="75"/>
        <v>0.48036259762400491</v>
      </c>
      <c r="W27" s="92">
        <f t="shared" si="76"/>
        <v>0.43384525921530326</v>
      </c>
      <c r="X27" s="117">
        <f t="shared" si="4"/>
        <v>0.613947128532361</v>
      </c>
      <c r="Y27" s="103">
        <f t="shared" si="5"/>
        <v>0.28762508534415726</v>
      </c>
      <c r="Z27" s="103">
        <f t="shared" si="6"/>
        <v>0.55909575845248394</v>
      </c>
      <c r="AA27" s="118">
        <f t="shared" si="7"/>
        <v>0.25017607223625182</v>
      </c>
      <c r="AB27" s="117">
        <f t="shared" si="8"/>
        <v>0.613947128532361</v>
      </c>
      <c r="AC27" s="103">
        <f t="shared" si="9"/>
        <v>0.28762508534415726</v>
      </c>
      <c r="AD27" s="103">
        <f t="shared" si="10"/>
        <v>0.55909575845248394</v>
      </c>
      <c r="AE27" s="118">
        <f t="shared" si="11"/>
        <v>0.25017607223625182</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21">
        <f t="shared" si="28"/>
        <v>2.6062544023604445E-2</v>
      </c>
      <c r="AW27" s="21">
        <f t="shared" si="77"/>
        <v>0</v>
      </c>
      <c r="AX27" s="139">
        <f t="shared" si="29"/>
        <v>0</v>
      </c>
      <c r="AY27" s="140">
        <v>23</v>
      </c>
      <c r="AZ27" s="141">
        <f t="shared" si="30"/>
        <v>0</v>
      </c>
      <c r="BA27" s="19">
        <f t="shared" si="31"/>
        <v>13.517714685615438</v>
      </c>
      <c r="BB27" s="142">
        <f t="shared" si="32"/>
        <v>4.9880367189920963E-3</v>
      </c>
      <c r="BC27" s="19">
        <f t="shared" si="78"/>
        <v>16.78726181192539</v>
      </c>
      <c r="BD27" s="79">
        <f t="shared" si="33"/>
        <v>6.1944996086004695E-3</v>
      </c>
      <c r="BE27" s="144">
        <f t="shared" si="34"/>
        <v>5.9548785265286014E-3</v>
      </c>
      <c r="BF27" s="148">
        <f t="shared" si="35"/>
        <v>4.8234516064881673E-3</v>
      </c>
      <c r="BG27" s="144">
        <f t="shared" si="36"/>
        <v>9.3302103059902303E-2</v>
      </c>
      <c r="BH27" s="152">
        <f t="shared" si="37"/>
        <v>2.335839315483644E-2</v>
      </c>
      <c r="BI27" s="28">
        <f t="shared" si="38"/>
        <v>9.3302103059902303E-2</v>
      </c>
      <c r="BJ27" s="29">
        <f t="shared" si="39"/>
        <v>2.335839315483644E-2</v>
      </c>
      <c r="BK27" s="28">
        <f t="shared" si="40"/>
        <v>0</v>
      </c>
      <c r="BL27" s="29">
        <f t="shared" si="41"/>
        <v>0</v>
      </c>
      <c r="BM27" s="28">
        <f t="shared" si="42"/>
        <v>0</v>
      </c>
      <c r="BN27" s="29">
        <f t="shared" si="43"/>
        <v>0</v>
      </c>
      <c r="BO27" s="28">
        <f t="shared" si="44"/>
        <v>0</v>
      </c>
      <c r="BP27" s="29">
        <f t="shared" si="45"/>
        <v>0</v>
      </c>
      <c r="BQ27" s="150">
        <f t="shared" si="46"/>
        <v>0</v>
      </c>
      <c r="BR27" s="29">
        <f t="shared" si="47"/>
        <v>0</v>
      </c>
      <c r="BS27" s="91">
        <f t="shared" si="79"/>
        <v>0.24409932256249423</v>
      </c>
      <c r="BT27" s="206">
        <f t="shared" si="80"/>
        <v>0.24409932256249423</v>
      </c>
      <c r="BU27" s="206">
        <f t="shared" si="81"/>
        <v>0.24409932256249423</v>
      </c>
      <c r="BV27" s="97">
        <f t="shared" si="82"/>
        <v>0.24908735928148631</v>
      </c>
      <c r="BW27" s="123">
        <f t="shared" si="83"/>
        <v>0.25029382217109469</v>
      </c>
      <c r="BX27" s="91">
        <f>(M27^2)*'Fly-Buck_Calc'!$B$80</f>
        <v>2.9768561376741593E-3</v>
      </c>
      <c r="BY27" s="92">
        <f t="shared" si="48"/>
        <v>5.0000000000000001E-3</v>
      </c>
      <c r="BZ27" s="92">
        <f t="shared" si="49"/>
        <v>5.0000000000000001E-3</v>
      </c>
      <c r="CA27" s="92">
        <f t="shared" si="50"/>
        <v>0</v>
      </c>
      <c r="CB27" s="92">
        <f t="shared" si="51"/>
        <v>0</v>
      </c>
      <c r="CC27" s="92">
        <f t="shared" si="52"/>
        <v>0</v>
      </c>
      <c r="CD27" s="92">
        <f t="shared" si="53"/>
        <v>0</v>
      </c>
      <c r="CE27" s="127">
        <f t="shared" si="84"/>
        <v>1.2976856137674159E-2</v>
      </c>
      <c r="CF27" s="91">
        <f t="shared" si="85"/>
        <v>1.2332689713221516E-2</v>
      </c>
      <c r="CG27" s="92">
        <f t="shared" si="54"/>
        <v>0.13470000000000004</v>
      </c>
      <c r="CH27" s="206">
        <f t="shared" si="55"/>
        <v>8.333333333333335E-3</v>
      </c>
      <c r="CI27" s="92">
        <f t="shared" si="56"/>
        <v>0.16164000000000001</v>
      </c>
      <c r="CJ27" s="93">
        <f t="shared" si="57"/>
        <v>0.09</v>
      </c>
      <c r="CK27" s="92">
        <f t="shared" si="58"/>
        <v>0.40700602304655487</v>
      </c>
      <c r="CL27" s="188">
        <f t="shared" si="59"/>
        <v>0.15</v>
      </c>
      <c r="CM27" s="206">
        <f t="shared" si="60"/>
        <v>0.15</v>
      </c>
      <c r="CN27" s="206">
        <f t="shared" si="61"/>
        <v>0</v>
      </c>
      <c r="CO27" s="206">
        <f t="shared" si="62"/>
        <v>0</v>
      </c>
      <c r="CP27" s="206">
        <f t="shared" si="63"/>
        <v>0</v>
      </c>
      <c r="CQ27" s="227">
        <f t="shared" si="64"/>
        <v>0</v>
      </c>
      <c r="CR27" s="231">
        <f t="shared" si="86"/>
        <v>0.3</v>
      </c>
      <c r="CS27" s="206">
        <f t="shared" si="65"/>
        <v>0.7199828791842291</v>
      </c>
      <c r="CT27" s="206">
        <f t="shared" si="66"/>
        <v>5.7199828791842293</v>
      </c>
      <c r="CU27" s="206">
        <f t="shared" si="67"/>
        <v>0.87412849052322483</v>
      </c>
      <c r="CV27">
        <f t="shared" si="68"/>
        <v>26.94</v>
      </c>
    </row>
    <row r="28" spans="1:100" x14ac:dyDescent="0.25">
      <c r="A28" s="12" t="s">
        <v>346</v>
      </c>
      <c r="B28" s="12">
        <f>MAX(S4:S54)</f>
        <v>0.35548941798941802</v>
      </c>
      <c r="C28" s="12" t="s">
        <v>6</v>
      </c>
      <c r="K28">
        <v>24</v>
      </c>
      <c r="L28" s="91">
        <f t="shared" si="0"/>
        <v>27.72</v>
      </c>
      <c r="M28" s="93">
        <f t="shared" si="1"/>
        <v>0.20041686708353373</v>
      </c>
      <c r="N28" s="122">
        <f t="shared" si="69"/>
        <v>7.1595459436130289E-5</v>
      </c>
      <c r="O28" s="97">
        <f t="shared" si="70"/>
        <v>6.4435913492517254E-5</v>
      </c>
      <c r="P28" s="123">
        <f t="shared" si="71"/>
        <v>5.8578103175015685E-5</v>
      </c>
      <c r="Q28" s="127">
        <f t="shared" si="72"/>
        <v>0.18037518037518038</v>
      </c>
      <c r="R28" s="91">
        <f t="shared" si="73"/>
        <v>1.1111111111111109</v>
      </c>
      <c r="S28" s="92">
        <f t="shared" si="2"/>
        <v>0.32524794429556336</v>
      </c>
      <c r="T28" s="92">
        <f t="shared" si="74"/>
        <v>1.2737350832588925</v>
      </c>
      <c r="U28" s="92">
        <f t="shared" si="3"/>
        <v>1.6553529282924364</v>
      </c>
      <c r="V28" s="93">
        <f t="shared" si="75"/>
        <v>0.47357735235044851</v>
      </c>
      <c r="W28" s="92">
        <f t="shared" si="76"/>
        <v>0.42907876671734996</v>
      </c>
      <c r="X28" s="117">
        <f t="shared" si="4"/>
        <v>0.61003521126760563</v>
      </c>
      <c r="Y28" s="103">
        <f t="shared" si="5"/>
        <v>0.28946951254500114</v>
      </c>
      <c r="Z28" s="103">
        <f t="shared" si="6"/>
        <v>0.55744130940659808</v>
      </c>
      <c r="AA28" s="118">
        <f t="shared" si="7"/>
        <v>0.24645651428384405</v>
      </c>
      <c r="AB28" s="117">
        <f t="shared" si="8"/>
        <v>0.61003521126760563</v>
      </c>
      <c r="AC28" s="103">
        <f t="shared" si="9"/>
        <v>0.28946951254500114</v>
      </c>
      <c r="AD28" s="103">
        <f t="shared" si="10"/>
        <v>0.55744130940659808</v>
      </c>
      <c r="AE28" s="118">
        <f t="shared" si="11"/>
        <v>0.24645651428384405</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21">
        <f t="shared" si="28"/>
        <v>2.6229672927061562E-2</v>
      </c>
      <c r="AW28" s="21">
        <f t="shared" si="77"/>
        <v>0</v>
      </c>
      <c r="AX28" s="139">
        <f t="shared" si="29"/>
        <v>0</v>
      </c>
      <c r="AY28" s="140">
        <v>24</v>
      </c>
      <c r="AZ28" s="141">
        <f t="shared" si="30"/>
        <v>0</v>
      </c>
      <c r="BA28" s="19">
        <f t="shared" si="31"/>
        <v>13.749522621462866</v>
      </c>
      <c r="BB28" s="142">
        <f t="shared" si="32"/>
        <v>5.0735738473197973E-3</v>
      </c>
      <c r="BC28" s="19">
        <f t="shared" si="78"/>
        <v>17.053322061544606</v>
      </c>
      <c r="BD28" s="79">
        <f t="shared" si="33"/>
        <v>6.2926758407099593E-3</v>
      </c>
      <c r="BE28" s="144">
        <f t="shared" si="34"/>
        <v>5.6244704270285995E-3</v>
      </c>
      <c r="BF28" s="148">
        <f t="shared" si="35"/>
        <v>4.5558210458931667E-3</v>
      </c>
      <c r="BG28" s="144">
        <f t="shared" si="36"/>
        <v>9.3302103059902303E-2</v>
      </c>
      <c r="BH28" s="152">
        <f t="shared" si="37"/>
        <v>2.2668982539450842E-2</v>
      </c>
      <c r="BI28" s="28">
        <f t="shared" si="38"/>
        <v>9.3302103059902303E-2</v>
      </c>
      <c r="BJ28" s="29">
        <f t="shared" si="39"/>
        <v>2.2668982539450842E-2</v>
      </c>
      <c r="BK28" s="28">
        <f t="shared" si="40"/>
        <v>0</v>
      </c>
      <c r="BL28" s="29">
        <f t="shared" si="41"/>
        <v>0</v>
      </c>
      <c r="BM28" s="28">
        <f t="shared" si="42"/>
        <v>0</v>
      </c>
      <c r="BN28" s="29">
        <f t="shared" si="43"/>
        <v>0</v>
      </c>
      <c r="BO28" s="28">
        <f t="shared" si="44"/>
        <v>0</v>
      </c>
      <c r="BP28" s="29">
        <f t="shared" si="45"/>
        <v>0</v>
      </c>
      <c r="BQ28" s="150">
        <f t="shared" si="46"/>
        <v>0</v>
      </c>
      <c r="BR28" s="29">
        <f t="shared" si="47"/>
        <v>0</v>
      </c>
      <c r="BS28" s="91">
        <f t="shared" si="79"/>
        <v>0.24212246267162807</v>
      </c>
      <c r="BT28" s="206">
        <f t="shared" si="80"/>
        <v>0.24212246267162807</v>
      </c>
      <c r="BU28" s="206">
        <f t="shared" si="81"/>
        <v>0.24212246267162807</v>
      </c>
      <c r="BV28" s="97">
        <f t="shared" si="82"/>
        <v>0.24719603651894786</v>
      </c>
      <c r="BW28" s="123">
        <f t="shared" si="83"/>
        <v>0.24841513851233804</v>
      </c>
      <c r="BX28" s="91">
        <f>(M28^2)*'Fly-Buck_Calc'!$B$80</f>
        <v>2.8116844428105179E-3</v>
      </c>
      <c r="BY28" s="92">
        <f t="shared" si="48"/>
        <v>5.0000000000000001E-3</v>
      </c>
      <c r="BZ28" s="92">
        <f t="shared" si="49"/>
        <v>5.0000000000000001E-3</v>
      </c>
      <c r="CA28" s="92">
        <f t="shared" si="50"/>
        <v>0</v>
      </c>
      <c r="CB28" s="92">
        <f t="shared" si="51"/>
        <v>0</v>
      </c>
      <c r="CC28" s="92">
        <f t="shared" si="52"/>
        <v>0</v>
      </c>
      <c r="CD28" s="92">
        <f t="shared" si="53"/>
        <v>0</v>
      </c>
      <c r="CE28" s="127">
        <f t="shared" si="84"/>
        <v>1.2811684442810518E-2</v>
      </c>
      <c r="CF28" s="91">
        <f t="shared" si="85"/>
        <v>1.1648406977357858E-2</v>
      </c>
      <c r="CG28" s="92">
        <f t="shared" si="54"/>
        <v>0.1386</v>
      </c>
      <c r="CH28" s="206">
        <f t="shared" si="55"/>
        <v>8.3333333333333332E-3</v>
      </c>
      <c r="CI28" s="92">
        <f t="shared" si="56"/>
        <v>0.16632</v>
      </c>
      <c r="CJ28" s="93">
        <f t="shared" si="57"/>
        <v>0.09</v>
      </c>
      <c r="CK28" s="92">
        <f t="shared" si="58"/>
        <v>0.41490174031069116</v>
      </c>
      <c r="CL28" s="188">
        <f t="shared" si="59"/>
        <v>0.15</v>
      </c>
      <c r="CM28" s="206">
        <f t="shared" si="60"/>
        <v>0.15</v>
      </c>
      <c r="CN28" s="206">
        <f t="shared" si="61"/>
        <v>0</v>
      </c>
      <c r="CO28" s="206">
        <f t="shared" si="62"/>
        <v>0</v>
      </c>
      <c r="CP28" s="206">
        <f t="shared" si="63"/>
        <v>0</v>
      </c>
      <c r="CQ28" s="227">
        <f t="shared" si="64"/>
        <v>0</v>
      </c>
      <c r="CR28" s="231">
        <f t="shared" si="86"/>
        <v>0.3</v>
      </c>
      <c r="CS28" s="206">
        <f t="shared" si="65"/>
        <v>0.72771342475350176</v>
      </c>
      <c r="CT28" s="206">
        <f t="shared" si="66"/>
        <v>5.7277134247535013</v>
      </c>
      <c r="CU28" s="206">
        <f t="shared" si="67"/>
        <v>0.87294870207567699</v>
      </c>
      <c r="CV28">
        <f t="shared" si="68"/>
        <v>27.72</v>
      </c>
    </row>
    <row r="29" spans="1:100" x14ac:dyDescent="0.25">
      <c r="A29" s="12" t="s">
        <v>348</v>
      </c>
      <c r="B29" s="12">
        <f>MAX(V4:V54)</f>
        <v>0.8290422876600072</v>
      </c>
      <c r="C29" s="12" t="s">
        <v>6</v>
      </c>
      <c r="K29">
        <v>25</v>
      </c>
      <c r="L29" s="91">
        <f t="shared" si="0"/>
        <v>28.5</v>
      </c>
      <c r="M29" s="93">
        <f t="shared" si="1"/>
        <v>0.19493177387914229</v>
      </c>
      <c r="N29" s="122">
        <f t="shared" si="69"/>
        <v>7.2026677455343455E-5</v>
      </c>
      <c r="O29" s="97">
        <f t="shared" si="70"/>
        <v>6.4824009709809116E-5</v>
      </c>
      <c r="P29" s="123">
        <f t="shared" si="71"/>
        <v>5.8930917918008272E-5</v>
      </c>
      <c r="Q29" s="127">
        <f t="shared" si="72"/>
        <v>0.17543859649122806</v>
      </c>
      <c r="R29" s="91">
        <f t="shared" si="73"/>
        <v>1.1111111111111112</v>
      </c>
      <c r="S29" s="92">
        <f t="shared" si="2"/>
        <v>0.32720690615427456</v>
      </c>
      <c r="T29" s="92">
        <f t="shared" si="74"/>
        <v>1.2747145641882485</v>
      </c>
      <c r="U29" s="92">
        <f t="shared" si="3"/>
        <v>1.6455682795672768</v>
      </c>
      <c r="V29" s="93">
        <f t="shared" si="75"/>
        <v>0.46707186628880437</v>
      </c>
      <c r="W29" s="92">
        <f t="shared" si="76"/>
        <v>0.42444991672850835</v>
      </c>
      <c r="X29" s="117">
        <f t="shared" si="4"/>
        <v>0.6063829787234043</v>
      </c>
      <c r="Y29" s="103">
        <f t="shared" si="5"/>
        <v>0.29121298162537784</v>
      </c>
      <c r="Z29" s="103">
        <f t="shared" si="6"/>
        <v>0.55589453456531723</v>
      </c>
      <c r="AA29" s="118">
        <f t="shared" si="7"/>
        <v>0.24293771539139553</v>
      </c>
      <c r="AB29" s="117">
        <f t="shared" si="8"/>
        <v>0.6063829787234043</v>
      </c>
      <c r="AC29" s="103">
        <f t="shared" si="9"/>
        <v>0.29121298162537784</v>
      </c>
      <c r="AD29" s="103">
        <f t="shared" si="10"/>
        <v>0.55589453456531723</v>
      </c>
      <c r="AE29" s="118">
        <f t="shared" si="11"/>
        <v>0.24293771539139553</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21">
        <f t="shared" si="28"/>
        <v>2.6387653722118917E-2</v>
      </c>
      <c r="AW29" s="21">
        <f t="shared" si="77"/>
        <v>0</v>
      </c>
      <c r="AX29" s="139">
        <f t="shared" si="29"/>
        <v>0</v>
      </c>
      <c r="AY29" s="140">
        <v>25</v>
      </c>
      <c r="AZ29" s="141">
        <f t="shared" si="30"/>
        <v>0</v>
      </c>
      <c r="BA29" s="19">
        <f t="shared" si="31"/>
        <v>13.97090813480464</v>
      </c>
      <c r="BB29" s="142">
        <f t="shared" si="32"/>
        <v>5.1552651017429119E-3</v>
      </c>
      <c r="BC29" s="19">
        <f t="shared" si="78"/>
        <v>17.307105095580834</v>
      </c>
      <c r="BD29" s="79">
        <f t="shared" si="33"/>
        <v>6.3863217802693278E-3</v>
      </c>
      <c r="BE29" s="144">
        <f t="shared" si="34"/>
        <v>5.320817577071214E-3</v>
      </c>
      <c r="BF29" s="148">
        <f t="shared" si="35"/>
        <v>4.3098622374276828E-3</v>
      </c>
      <c r="BG29" s="144">
        <f t="shared" si="36"/>
        <v>9.3302103059902303E-2</v>
      </c>
      <c r="BH29" s="152">
        <f t="shared" si="37"/>
        <v>2.2026287844167384E-2</v>
      </c>
      <c r="BI29" s="28">
        <f t="shared" si="38"/>
        <v>9.3302103059902303E-2</v>
      </c>
      <c r="BJ29" s="29">
        <f t="shared" si="39"/>
        <v>2.2026287844167384E-2</v>
      </c>
      <c r="BK29" s="28">
        <f t="shared" si="40"/>
        <v>0</v>
      </c>
      <c r="BL29" s="29">
        <f t="shared" si="41"/>
        <v>0</v>
      </c>
      <c r="BM29" s="28">
        <f t="shared" si="42"/>
        <v>0</v>
      </c>
      <c r="BN29" s="29">
        <f t="shared" si="43"/>
        <v>0</v>
      </c>
      <c r="BO29" s="28">
        <f t="shared" si="44"/>
        <v>0</v>
      </c>
      <c r="BP29" s="29">
        <f t="shared" si="45"/>
        <v>0</v>
      </c>
      <c r="BQ29" s="150">
        <f t="shared" si="46"/>
        <v>0</v>
      </c>
      <c r="BR29" s="29">
        <f t="shared" si="47"/>
        <v>0</v>
      </c>
      <c r="BS29" s="91">
        <f t="shared" si="79"/>
        <v>0.24028746162263825</v>
      </c>
      <c r="BT29" s="206">
        <f t="shared" si="80"/>
        <v>0.24028746162263825</v>
      </c>
      <c r="BU29" s="206">
        <f t="shared" si="81"/>
        <v>0.24028746162263825</v>
      </c>
      <c r="BV29" s="97">
        <f t="shared" si="82"/>
        <v>0.24544272672438117</v>
      </c>
      <c r="BW29" s="123">
        <f t="shared" si="83"/>
        <v>0.24667378340290758</v>
      </c>
      <c r="BX29" s="91">
        <f>(M29^2)*'Fly-Buck_Calc'!$B$80</f>
        <v>2.6598877527368343E-3</v>
      </c>
      <c r="BY29" s="92">
        <f t="shared" si="48"/>
        <v>5.0000000000000001E-3</v>
      </c>
      <c r="BZ29" s="92">
        <f t="shared" si="49"/>
        <v>5.0000000000000001E-3</v>
      </c>
      <c r="CA29" s="92">
        <f t="shared" si="50"/>
        <v>0</v>
      </c>
      <c r="CB29" s="92">
        <f t="shared" si="51"/>
        <v>0</v>
      </c>
      <c r="CC29" s="92">
        <f t="shared" si="52"/>
        <v>0</v>
      </c>
      <c r="CD29" s="92">
        <f t="shared" si="53"/>
        <v>0</v>
      </c>
      <c r="CE29" s="127">
        <f t="shared" si="84"/>
        <v>1.2659887752736835E-2</v>
      </c>
      <c r="CF29" s="91">
        <f t="shared" si="85"/>
        <v>1.1019534975624027E-2</v>
      </c>
      <c r="CG29" s="92">
        <f t="shared" si="54"/>
        <v>0.14250000000000002</v>
      </c>
      <c r="CH29" s="206">
        <f t="shared" si="55"/>
        <v>8.333333333333335E-3</v>
      </c>
      <c r="CI29" s="92">
        <f t="shared" si="56"/>
        <v>0.17100000000000001</v>
      </c>
      <c r="CJ29" s="93">
        <f t="shared" si="57"/>
        <v>0.09</v>
      </c>
      <c r="CK29" s="92">
        <f t="shared" si="58"/>
        <v>0.42285286830895741</v>
      </c>
      <c r="CL29" s="188">
        <f t="shared" si="59"/>
        <v>0.15</v>
      </c>
      <c r="CM29" s="206">
        <f t="shared" si="60"/>
        <v>0.15</v>
      </c>
      <c r="CN29" s="206">
        <f t="shared" si="61"/>
        <v>0</v>
      </c>
      <c r="CO29" s="206">
        <f t="shared" si="62"/>
        <v>0</v>
      </c>
      <c r="CP29" s="206">
        <f t="shared" si="63"/>
        <v>0</v>
      </c>
      <c r="CQ29" s="227">
        <f t="shared" si="64"/>
        <v>0</v>
      </c>
      <c r="CR29" s="231">
        <f t="shared" si="86"/>
        <v>0.3</v>
      </c>
      <c r="CS29" s="206">
        <f t="shared" si="65"/>
        <v>0.73551275606169431</v>
      </c>
      <c r="CT29" s="206">
        <f t="shared" si="66"/>
        <v>5.7355127560616941</v>
      </c>
      <c r="CU29" s="206">
        <f t="shared" si="67"/>
        <v>0.87176163887276648</v>
      </c>
      <c r="CV29">
        <f t="shared" si="68"/>
        <v>28.5</v>
      </c>
    </row>
    <row r="30" spans="1:100" x14ac:dyDescent="0.25">
      <c r="A30" s="310" t="s">
        <v>322</v>
      </c>
      <c r="B30" s="310"/>
      <c r="C30" s="12"/>
      <c r="K30">
        <v>26</v>
      </c>
      <c r="L30" s="91">
        <f t="shared" si="0"/>
        <v>29.28</v>
      </c>
      <c r="M30" s="93">
        <f t="shared" si="1"/>
        <v>0.18973891924711597</v>
      </c>
      <c r="N30" s="122">
        <f t="shared" si="69"/>
        <v>7.243492074402477E-5</v>
      </c>
      <c r="O30" s="97">
        <f t="shared" si="70"/>
        <v>6.5191428669622293E-5</v>
      </c>
      <c r="P30" s="123">
        <f t="shared" si="71"/>
        <v>5.9264935154202075E-5</v>
      </c>
      <c r="Q30" s="127">
        <f t="shared" si="72"/>
        <v>0.17076502732240437</v>
      </c>
      <c r="R30" s="91">
        <f t="shared" si="73"/>
        <v>1.1111111111111112</v>
      </c>
      <c r="S30" s="92">
        <f t="shared" si="2"/>
        <v>0.32906149709428401</v>
      </c>
      <c r="T30" s="92">
        <f t="shared" si="74"/>
        <v>1.2756418596582533</v>
      </c>
      <c r="U30" s="92">
        <f t="shared" si="3"/>
        <v>1.636251463805336</v>
      </c>
      <c r="V30" s="93">
        <f t="shared" si="75"/>
        <v>0.46082742111502523</v>
      </c>
      <c r="W30" s="92">
        <f t="shared" si="76"/>
        <v>0.41995363383885753</v>
      </c>
      <c r="X30" s="117">
        <f t="shared" si="4"/>
        <v>0.60296540362438222</v>
      </c>
      <c r="Y30" s="103">
        <f t="shared" si="5"/>
        <v>0.29286356095966892</v>
      </c>
      <c r="Z30" s="103">
        <f t="shared" si="6"/>
        <v>0.55444530315580687</v>
      </c>
      <c r="AA30" s="118">
        <f t="shared" si="7"/>
        <v>0.23960299286848355</v>
      </c>
      <c r="AB30" s="117">
        <f t="shared" si="8"/>
        <v>0.60296540362438222</v>
      </c>
      <c r="AC30" s="103">
        <f t="shared" si="9"/>
        <v>0.29286356095966892</v>
      </c>
      <c r="AD30" s="103">
        <f t="shared" si="10"/>
        <v>0.55444530315580687</v>
      </c>
      <c r="AE30" s="118">
        <f t="shared" si="11"/>
        <v>0.23960299286848355</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21">
        <f t="shared" si="28"/>
        <v>2.6537217507603548E-2</v>
      </c>
      <c r="AW30" s="21">
        <f t="shared" si="77"/>
        <v>0</v>
      </c>
      <c r="AX30" s="139">
        <f t="shared" si="29"/>
        <v>0</v>
      </c>
      <c r="AY30" s="140">
        <v>26</v>
      </c>
      <c r="AZ30" s="141">
        <f t="shared" si="30"/>
        <v>0</v>
      </c>
      <c r="BA30" s="19">
        <f t="shared" si="31"/>
        <v>14.18253596658605</v>
      </c>
      <c r="BB30" s="142">
        <f t="shared" si="32"/>
        <v>5.2333557716702523E-3</v>
      </c>
      <c r="BC30" s="19">
        <f t="shared" si="78"/>
        <v>17.549419925441484</v>
      </c>
      <c r="BD30" s="79">
        <f t="shared" si="33"/>
        <v>6.4757359524879078E-3</v>
      </c>
      <c r="BE30" s="144">
        <f t="shared" si="34"/>
        <v>5.0411073376893508E-3</v>
      </c>
      <c r="BF30" s="148">
        <f t="shared" si="35"/>
        <v>4.0832969435283736E-3</v>
      </c>
      <c r="BG30" s="144">
        <f t="shared" si="36"/>
        <v>9.3302103059902303E-2</v>
      </c>
      <c r="BH30" s="152">
        <f t="shared" si="37"/>
        <v>2.1425743495542913E-2</v>
      </c>
      <c r="BI30" s="28">
        <f t="shared" si="38"/>
        <v>9.3302103059902303E-2</v>
      </c>
      <c r="BJ30" s="29">
        <f t="shared" si="39"/>
        <v>2.1425743495542913E-2</v>
      </c>
      <c r="BK30" s="28">
        <f t="shared" si="40"/>
        <v>0</v>
      </c>
      <c r="BL30" s="29">
        <f t="shared" si="41"/>
        <v>0</v>
      </c>
      <c r="BM30" s="28">
        <f t="shared" si="42"/>
        <v>0</v>
      </c>
      <c r="BN30" s="29">
        <f t="shared" si="43"/>
        <v>0</v>
      </c>
      <c r="BO30" s="28">
        <f t="shared" si="44"/>
        <v>0</v>
      </c>
      <c r="BP30" s="29">
        <f t="shared" si="45"/>
        <v>0</v>
      </c>
      <c r="BQ30" s="150">
        <f t="shared" si="46"/>
        <v>0</v>
      </c>
      <c r="BR30" s="29">
        <f t="shared" si="47"/>
        <v>0</v>
      </c>
      <c r="BS30" s="91">
        <f t="shared" si="79"/>
        <v>0.23858009739210814</v>
      </c>
      <c r="BT30" s="206">
        <f t="shared" si="80"/>
        <v>0.23858009739210814</v>
      </c>
      <c r="BU30" s="206">
        <f t="shared" si="81"/>
        <v>0.23858009739210814</v>
      </c>
      <c r="BV30" s="97">
        <f t="shared" si="82"/>
        <v>0.24381345316377839</v>
      </c>
      <c r="BW30" s="123">
        <f t="shared" si="83"/>
        <v>0.24505583334459605</v>
      </c>
      <c r="BX30" s="91">
        <f>(M30^2)*'Fly-Buck_Calc'!$B$80</f>
        <v>2.5200600233944519E-3</v>
      </c>
      <c r="BY30" s="92">
        <f t="shared" si="48"/>
        <v>5.0000000000000001E-3</v>
      </c>
      <c r="BZ30" s="92">
        <f t="shared" si="49"/>
        <v>5.0000000000000001E-3</v>
      </c>
      <c r="CA30" s="92">
        <f t="shared" si="50"/>
        <v>0</v>
      </c>
      <c r="CB30" s="92">
        <f t="shared" si="51"/>
        <v>0</v>
      </c>
      <c r="CC30" s="92">
        <f t="shared" si="52"/>
        <v>0</v>
      </c>
      <c r="CD30" s="92">
        <f t="shared" si="53"/>
        <v>0</v>
      </c>
      <c r="CE30" s="127">
        <f t="shared" si="84"/>
        <v>1.2520060023394453E-2</v>
      </c>
      <c r="CF30" s="91">
        <f t="shared" si="85"/>
        <v>1.0440248668348442E-2</v>
      </c>
      <c r="CG30" s="92">
        <f t="shared" si="54"/>
        <v>0.14640000000000006</v>
      </c>
      <c r="CH30" s="206">
        <f t="shared" si="55"/>
        <v>8.333333333333335E-3</v>
      </c>
      <c r="CI30" s="92">
        <f t="shared" si="56"/>
        <v>0.17568</v>
      </c>
      <c r="CJ30" s="93">
        <f t="shared" si="57"/>
        <v>0.09</v>
      </c>
      <c r="CK30" s="92">
        <f t="shared" si="58"/>
        <v>0.43085358200168178</v>
      </c>
      <c r="CL30" s="188">
        <f t="shared" si="59"/>
        <v>0.15</v>
      </c>
      <c r="CM30" s="206">
        <f t="shared" si="60"/>
        <v>0.15</v>
      </c>
      <c r="CN30" s="206">
        <f t="shared" si="61"/>
        <v>0</v>
      </c>
      <c r="CO30" s="206">
        <f t="shared" si="62"/>
        <v>0</v>
      </c>
      <c r="CP30" s="206">
        <f t="shared" si="63"/>
        <v>0</v>
      </c>
      <c r="CQ30" s="227">
        <f t="shared" si="64"/>
        <v>0</v>
      </c>
      <c r="CR30" s="231">
        <f t="shared" si="86"/>
        <v>0.3</v>
      </c>
      <c r="CS30" s="206">
        <f t="shared" si="65"/>
        <v>0.74337364202507616</v>
      </c>
      <c r="CT30" s="206">
        <f t="shared" si="66"/>
        <v>5.7433736420250758</v>
      </c>
      <c r="CU30" s="206">
        <f t="shared" si="67"/>
        <v>0.87056846927288412</v>
      </c>
      <c r="CV30">
        <f t="shared" si="68"/>
        <v>29.28</v>
      </c>
    </row>
    <row r="31" spans="1:100" x14ac:dyDescent="0.25">
      <c r="A31" s="12" t="s">
        <v>350</v>
      </c>
      <c r="B31" s="8">
        <f>MAX(U4:U54)</f>
        <v>2.4203314726186096</v>
      </c>
      <c r="C31" s="12" t="s">
        <v>6</v>
      </c>
      <c r="K31">
        <v>27</v>
      </c>
      <c r="L31" s="91">
        <f t="shared" si="0"/>
        <v>30.060000000000002</v>
      </c>
      <c r="M31" s="93">
        <f t="shared" si="1"/>
        <v>0.1848155540770311</v>
      </c>
      <c r="N31" s="122">
        <f t="shared" si="69"/>
        <v>7.2821977754251573E-5</v>
      </c>
      <c r="O31" s="97">
        <f t="shared" si="70"/>
        <v>6.553977997882641E-5</v>
      </c>
      <c r="P31" s="123">
        <f t="shared" si="71"/>
        <v>5.9581618162569456E-5</v>
      </c>
      <c r="Q31" s="127">
        <f t="shared" si="72"/>
        <v>0.16633399866932799</v>
      </c>
      <c r="R31" s="91">
        <f t="shared" si="73"/>
        <v>1.1111111111111112</v>
      </c>
      <c r="S31" s="92">
        <f t="shared" si="2"/>
        <v>0.33081984179788571</v>
      </c>
      <c r="T31" s="92">
        <f t="shared" si="74"/>
        <v>1.276521032010054</v>
      </c>
      <c r="U31" s="92">
        <f t="shared" si="3"/>
        <v>1.6273665981419205</v>
      </c>
      <c r="V31" s="93">
        <f t="shared" si="75"/>
        <v>0.4548270069067698</v>
      </c>
      <c r="W31" s="92">
        <f t="shared" si="76"/>
        <v>0.41558490971517581</v>
      </c>
      <c r="X31" s="117">
        <f t="shared" si="4"/>
        <v>0.59976057462090981</v>
      </c>
      <c r="Y31" s="103">
        <f t="shared" si="5"/>
        <v>0.29442848148619233</v>
      </c>
      <c r="Z31" s="103">
        <f t="shared" si="6"/>
        <v>0.55308471284676908</v>
      </c>
      <c r="AA31" s="118">
        <f t="shared" si="7"/>
        <v>0.23643751729535858</v>
      </c>
      <c r="AB31" s="117">
        <f t="shared" si="8"/>
        <v>0.59976057462090981</v>
      </c>
      <c r="AC31" s="103">
        <f t="shared" si="9"/>
        <v>0.29442848148619233</v>
      </c>
      <c r="AD31" s="103">
        <f t="shared" si="10"/>
        <v>0.55308471284676908</v>
      </c>
      <c r="AE31" s="118">
        <f t="shared" si="11"/>
        <v>0.23643751729535858</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21">
        <f t="shared" si="28"/>
        <v>2.6679019499829492E-2</v>
      </c>
      <c r="AW31" s="21">
        <f t="shared" si="77"/>
        <v>0</v>
      </c>
      <c r="AX31" s="139">
        <f t="shared" si="29"/>
        <v>0</v>
      </c>
      <c r="AY31" s="140">
        <v>27</v>
      </c>
      <c r="AZ31" s="141">
        <f t="shared" si="30"/>
        <v>0</v>
      </c>
      <c r="BA31" s="19">
        <f t="shared" si="31"/>
        <v>14.385018058865763</v>
      </c>
      <c r="BB31" s="142">
        <f t="shared" si="32"/>
        <v>5.308071663721466E-3</v>
      </c>
      <c r="BC31" s="19">
        <f t="shared" si="78"/>
        <v>17.78100842465556</v>
      </c>
      <c r="BD31" s="79">
        <f t="shared" si="33"/>
        <v>6.5611921086979018E-3</v>
      </c>
      <c r="BE31" s="144">
        <f t="shared" si="34"/>
        <v>4.7828871830259334E-3</v>
      </c>
      <c r="BF31" s="148">
        <f t="shared" si="35"/>
        <v>3.8741386182510069E-3</v>
      </c>
      <c r="BG31" s="144">
        <f t="shared" si="36"/>
        <v>9.3302103059902303E-2</v>
      </c>
      <c r="BH31" s="152">
        <f t="shared" si="37"/>
        <v>2.0863357751948454E-2</v>
      </c>
      <c r="BI31" s="28">
        <f t="shared" si="38"/>
        <v>9.3302103059902303E-2</v>
      </c>
      <c r="BJ31" s="29">
        <f t="shared" si="39"/>
        <v>2.0863357751948454E-2</v>
      </c>
      <c r="BK31" s="28">
        <f t="shared" si="40"/>
        <v>0</v>
      </c>
      <c r="BL31" s="29">
        <f t="shared" si="41"/>
        <v>0</v>
      </c>
      <c r="BM31" s="28">
        <f t="shared" si="42"/>
        <v>0</v>
      </c>
      <c r="BN31" s="29">
        <f t="shared" si="43"/>
        <v>0</v>
      </c>
      <c r="BO31" s="28">
        <f t="shared" si="44"/>
        <v>0</v>
      </c>
      <c r="BP31" s="29">
        <f t="shared" si="45"/>
        <v>0</v>
      </c>
      <c r="BQ31" s="150">
        <f t="shared" si="46"/>
        <v>0</v>
      </c>
      <c r="BR31" s="29">
        <f t="shared" si="47"/>
        <v>0</v>
      </c>
      <c r="BS31" s="91">
        <f t="shared" si="79"/>
        <v>0.23698794742497845</v>
      </c>
      <c r="BT31" s="206">
        <f t="shared" si="80"/>
        <v>0.23698794742497845</v>
      </c>
      <c r="BU31" s="206">
        <f t="shared" si="81"/>
        <v>0.23698794742497845</v>
      </c>
      <c r="BV31" s="97">
        <f t="shared" si="82"/>
        <v>0.24229601908869991</v>
      </c>
      <c r="BW31" s="123">
        <f t="shared" si="83"/>
        <v>0.24354913953367635</v>
      </c>
      <c r="BX31" s="91">
        <f>(M31^2)*'Fly-Buck_Calc'!$B$80</f>
        <v>2.3909752320160006E-3</v>
      </c>
      <c r="BY31" s="92">
        <f t="shared" si="48"/>
        <v>5.0000000000000001E-3</v>
      </c>
      <c r="BZ31" s="92">
        <f t="shared" si="49"/>
        <v>5.0000000000000001E-3</v>
      </c>
      <c r="CA31" s="92">
        <f t="shared" si="50"/>
        <v>0</v>
      </c>
      <c r="CB31" s="92">
        <f t="shared" si="51"/>
        <v>0</v>
      </c>
      <c r="CC31" s="92">
        <f t="shared" si="52"/>
        <v>0</v>
      </c>
      <c r="CD31" s="92">
        <f t="shared" si="53"/>
        <v>0</v>
      </c>
      <c r="CE31" s="127">
        <f t="shared" si="84"/>
        <v>1.2390975232016002E-2</v>
      </c>
      <c r="CF31" s="91">
        <f t="shared" si="85"/>
        <v>9.9054688183519996E-3</v>
      </c>
      <c r="CG31" s="92">
        <f t="shared" si="54"/>
        <v>0.15030000000000004</v>
      </c>
      <c r="CH31" s="206">
        <f t="shared" si="55"/>
        <v>8.333333333333335E-3</v>
      </c>
      <c r="CI31" s="92">
        <f t="shared" si="56"/>
        <v>0.18036000000000002</v>
      </c>
      <c r="CJ31" s="93">
        <f t="shared" si="57"/>
        <v>0.09</v>
      </c>
      <c r="CK31" s="92">
        <f t="shared" si="58"/>
        <v>0.43889880215168542</v>
      </c>
      <c r="CL31" s="188">
        <f t="shared" si="59"/>
        <v>0.15</v>
      </c>
      <c r="CM31" s="206">
        <f t="shared" si="60"/>
        <v>0.15</v>
      </c>
      <c r="CN31" s="206">
        <f t="shared" si="61"/>
        <v>0</v>
      </c>
      <c r="CO31" s="206">
        <f t="shared" si="62"/>
        <v>0</v>
      </c>
      <c r="CP31" s="206">
        <f t="shared" si="63"/>
        <v>0</v>
      </c>
      <c r="CQ31" s="227">
        <f t="shared" si="64"/>
        <v>0</v>
      </c>
      <c r="CR31" s="231">
        <f t="shared" si="86"/>
        <v>0.3</v>
      </c>
      <c r="CS31" s="206">
        <f t="shared" si="65"/>
        <v>0.7512897773837014</v>
      </c>
      <c r="CT31" s="206">
        <f t="shared" si="66"/>
        <v>5.7512897773837013</v>
      </c>
      <c r="CU31" s="206">
        <f t="shared" si="67"/>
        <v>0.86937020973311696</v>
      </c>
      <c r="CV31">
        <f t="shared" si="68"/>
        <v>30.060000000000002</v>
      </c>
    </row>
    <row r="32" spans="1:100" x14ac:dyDescent="0.25">
      <c r="A32" s="12" t="s">
        <v>349</v>
      </c>
      <c r="B32" s="8">
        <f>VLOOKUP(ILrms_Total_Max_FB,U4:AU54,2,FALSE)</f>
        <v>0.8290422876600072</v>
      </c>
      <c r="C32" s="12" t="s">
        <v>6</v>
      </c>
      <c r="K32">
        <v>28</v>
      </c>
      <c r="L32" s="91">
        <f t="shared" si="0"/>
        <v>30.84</v>
      </c>
      <c r="M32" s="93">
        <f t="shared" si="1"/>
        <v>0.1801412307248883</v>
      </c>
      <c r="N32" s="122">
        <f t="shared" si="69"/>
        <v>7.3189456005206191E-5</v>
      </c>
      <c r="O32" s="97">
        <f t="shared" si="70"/>
        <v>6.5870510404685576E-5</v>
      </c>
      <c r="P32" s="123">
        <f t="shared" si="71"/>
        <v>5.9882282186077782E-5</v>
      </c>
      <c r="Q32" s="127">
        <f t="shared" si="72"/>
        <v>0.16212710765239949</v>
      </c>
      <c r="R32" s="91">
        <f t="shared" si="73"/>
        <v>1.1111111111111109</v>
      </c>
      <c r="S32" s="92">
        <f t="shared" si="2"/>
        <v>0.33248924299507959</v>
      </c>
      <c r="T32" s="92">
        <f t="shared" si="74"/>
        <v>1.2773557326086507</v>
      </c>
      <c r="U32" s="92">
        <f t="shared" si="3"/>
        <v>1.6188815345553034</v>
      </c>
      <c r="V32" s="93">
        <f t="shared" si="75"/>
        <v>0.44905512668589359</v>
      </c>
      <c r="W32" s="92">
        <f t="shared" si="76"/>
        <v>0.41133884304282092</v>
      </c>
      <c r="X32" s="117">
        <f t="shared" si="4"/>
        <v>0.59674922600619196</v>
      </c>
      <c r="Y32" s="103">
        <f t="shared" si="5"/>
        <v>0.2959142426086504</v>
      </c>
      <c r="Z32" s="103">
        <f t="shared" si="6"/>
        <v>0.55180490937236315</v>
      </c>
      <c r="AA32" s="118">
        <f t="shared" si="7"/>
        <v>0.2334280574554865</v>
      </c>
      <c r="AB32" s="117">
        <f t="shared" si="8"/>
        <v>0.59674922600619196</v>
      </c>
      <c r="AC32" s="103">
        <f t="shared" si="9"/>
        <v>0.2959142426086504</v>
      </c>
      <c r="AD32" s="103">
        <f t="shared" si="10"/>
        <v>0.55180490937236315</v>
      </c>
      <c r="AE32" s="118">
        <f t="shared" si="11"/>
        <v>0.2334280574554865</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21">
        <f t="shared" si="28"/>
        <v>2.6813648628635452E-2</v>
      </c>
      <c r="AW32" s="21">
        <f t="shared" si="77"/>
        <v>0</v>
      </c>
      <c r="AX32" s="139">
        <f t="shared" si="29"/>
        <v>0</v>
      </c>
      <c r="AY32" s="140">
        <v>28</v>
      </c>
      <c r="AZ32" s="141">
        <f t="shared" si="30"/>
        <v>0</v>
      </c>
      <c r="BA32" s="19">
        <f t="shared" si="31"/>
        <v>14.578918334185632</v>
      </c>
      <c r="BB32" s="142">
        <f t="shared" si="32"/>
        <v>5.3796208653144988E-3</v>
      </c>
      <c r="BC32" s="19">
        <f t="shared" si="78"/>
        <v>18.002551815251952</v>
      </c>
      <c r="BD32" s="79">
        <f t="shared" si="33"/>
        <v>6.6429416198279696E-3</v>
      </c>
      <c r="BE32" s="144">
        <f t="shared" si="34"/>
        <v>4.5440107565091542E-3</v>
      </c>
      <c r="BF32" s="148">
        <f t="shared" si="35"/>
        <v>3.6806487127724156E-3</v>
      </c>
      <c r="BG32" s="144">
        <f t="shared" si="36"/>
        <v>9.3302103059902303E-2</v>
      </c>
      <c r="BH32" s="152">
        <f t="shared" si="37"/>
        <v>2.0335625540024466E-2</v>
      </c>
      <c r="BI32" s="28">
        <f t="shared" si="38"/>
        <v>9.3302103059902303E-2</v>
      </c>
      <c r="BJ32" s="29">
        <f t="shared" si="39"/>
        <v>2.0335625540024466E-2</v>
      </c>
      <c r="BK32" s="28">
        <f t="shared" si="40"/>
        <v>0</v>
      </c>
      <c r="BL32" s="29">
        <f t="shared" si="41"/>
        <v>0</v>
      </c>
      <c r="BM32" s="28">
        <f t="shared" si="42"/>
        <v>0</v>
      </c>
      <c r="BN32" s="29">
        <f t="shared" si="43"/>
        <v>0</v>
      </c>
      <c r="BO32" s="28">
        <f t="shared" si="44"/>
        <v>0</v>
      </c>
      <c r="BP32" s="29">
        <f t="shared" si="45"/>
        <v>0</v>
      </c>
      <c r="BQ32" s="150">
        <f t="shared" si="46"/>
        <v>0</v>
      </c>
      <c r="BR32" s="29">
        <f t="shared" si="47"/>
        <v>0</v>
      </c>
      <c r="BS32" s="91">
        <f t="shared" si="79"/>
        <v>0.23550011666913509</v>
      </c>
      <c r="BT32" s="206">
        <f t="shared" si="80"/>
        <v>0.23550011666913509</v>
      </c>
      <c r="BU32" s="206">
        <f t="shared" si="81"/>
        <v>0.23550011666913509</v>
      </c>
      <c r="BV32" s="97">
        <f t="shared" si="82"/>
        <v>0.24087973753444958</v>
      </c>
      <c r="BW32" s="123">
        <f t="shared" si="83"/>
        <v>0.24214305828896307</v>
      </c>
      <c r="BX32" s="91">
        <f>(M32^2)*'Fly-Buck_Calc'!$B$80</f>
        <v>2.2715604104954208E-3</v>
      </c>
      <c r="BY32" s="92">
        <f t="shared" si="48"/>
        <v>5.0000000000000001E-3</v>
      </c>
      <c r="BZ32" s="92">
        <f t="shared" si="49"/>
        <v>5.0000000000000001E-3</v>
      </c>
      <c r="CA32" s="92">
        <f t="shared" si="50"/>
        <v>0</v>
      </c>
      <c r="CB32" s="92">
        <f t="shared" si="51"/>
        <v>0</v>
      </c>
      <c r="CC32" s="92">
        <f t="shared" si="52"/>
        <v>0</v>
      </c>
      <c r="CD32" s="92">
        <f t="shared" si="53"/>
        <v>0</v>
      </c>
      <c r="CE32" s="127">
        <f t="shared" si="84"/>
        <v>1.227156041049542E-2</v>
      </c>
      <c r="CF32" s="91">
        <f t="shared" si="85"/>
        <v>9.4107502720524559E-3</v>
      </c>
      <c r="CG32" s="92">
        <f t="shared" si="54"/>
        <v>0.1542</v>
      </c>
      <c r="CH32" s="206">
        <f t="shared" si="55"/>
        <v>8.3333333333333332E-3</v>
      </c>
      <c r="CI32" s="92">
        <f t="shared" si="56"/>
        <v>0.18504000000000001</v>
      </c>
      <c r="CJ32" s="93">
        <f t="shared" si="57"/>
        <v>0.09</v>
      </c>
      <c r="CK32" s="92">
        <f t="shared" si="58"/>
        <v>0.44698408360538577</v>
      </c>
      <c r="CL32" s="188">
        <f t="shared" si="59"/>
        <v>0.15</v>
      </c>
      <c r="CM32" s="206">
        <f t="shared" si="60"/>
        <v>0.15</v>
      </c>
      <c r="CN32" s="206">
        <f t="shared" si="61"/>
        <v>0</v>
      </c>
      <c r="CO32" s="206">
        <f t="shared" si="62"/>
        <v>0</v>
      </c>
      <c r="CP32" s="206">
        <f t="shared" si="63"/>
        <v>0</v>
      </c>
      <c r="CQ32" s="227">
        <f t="shared" si="64"/>
        <v>0</v>
      </c>
      <c r="CR32" s="231">
        <f t="shared" si="86"/>
        <v>0.3</v>
      </c>
      <c r="CS32" s="206">
        <f t="shared" si="65"/>
        <v>0.75925564401588119</v>
      </c>
      <c r="CT32" s="206">
        <f t="shared" si="66"/>
        <v>5.7592556440158811</v>
      </c>
      <c r="CU32" s="206">
        <f t="shared" si="67"/>
        <v>0.86816774754480974</v>
      </c>
      <c r="CV32">
        <f t="shared" si="68"/>
        <v>30.84</v>
      </c>
    </row>
    <row r="33" spans="1:100" x14ac:dyDescent="0.25">
      <c r="A33" s="12" t="s">
        <v>121</v>
      </c>
      <c r="B33" s="8">
        <f>VLOOKUP(ILrms_Total_Max_FB,U4:AU54,6,FALSE)</f>
        <v>0.75060810611254825</v>
      </c>
      <c r="C33" s="12" t="s">
        <v>6</v>
      </c>
      <c r="K33">
        <v>29</v>
      </c>
      <c r="L33" s="91">
        <f t="shared" si="0"/>
        <v>31.62</v>
      </c>
      <c r="M33" s="93">
        <f t="shared" si="1"/>
        <v>0.17569751915102957</v>
      </c>
      <c r="N33" s="122">
        <f t="shared" si="69"/>
        <v>7.3538804399377484E-5</v>
      </c>
      <c r="O33" s="97">
        <f t="shared" si="70"/>
        <v>6.6184923959439735E-5</v>
      </c>
      <c r="P33" s="123">
        <f t="shared" si="71"/>
        <v>6.0168112690399747E-5</v>
      </c>
      <c r="Q33" s="127">
        <f t="shared" si="72"/>
        <v>0.15812776723592661</v>
      </c>
      <c r="R33" s="91">
        <f t="shared" si="73"/>
        <v>1.1111111111111112</v>
      </c>
      <c r="S33" s="92">
        <f t="shared" si="2"/>
        <v>0.33407628284288626</v>
      </c>
      <c r="T33" s="92">
        <f t="shared" si="74"/>
        <v>1.2781492525325544</v>
      </c>
      <c r="U33" s="92">
        <f t="shared" si="3"/>
        <v>1.6107673740611848</v>
      </c>
      <c r="V33" s="93">
        <f t="shared" si="75"/>
        <v>0.44349762762512035</v>
      </c>
      <c r="W33" s="92">
        <f t="shared" si="76"/>
        <v>0.40721066718994914</v>
      </c>
      <c r="X33" s="117">
        <f t="shared" si="4"/>
        <v>0.59391435011269722</v>
      </c>
      <c r="Y33" s="103">
        <f t="shared" si="5"/>
        <v>0.29732670242335912</v>
      </c>
      <c r="Z33" s="103">
        <f t="shared" si="6"/>
        <v>0.55059893699814355</v>
      </c>
      <c r="AA33" s="118">
        <f t="shared" si="7"/>
        <v>0.23056276677617665</v>
      </c>
      <c r="AB33" s="117">
        <f t="shared" si="8"/>
        <v>0.59391435011269722</v>
      </c>
      <c r="AC33" s="103">
        <f t="shared" si="9"/>
        <v>0.29732670242335912</v>
      </c>
      <c r="AD33" s="103">
        <f t="shared" si="10"/>
        <v>0.55059893699814355</v>
      </c>
      <c r="AE33" s="118">
        <f t="shared" si="11"/>
        <v>0.23056276677617665</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21">
        <f t="shared" si="28"/>
        <v>2.6941635713135986E-2</v>
      </c>
      <c r="AW33" s="21">
        <f t="shared" si="77"/>
        <v>0</v>
      </c>
      <c r="AX33" s="139">
        <f t="shared" si="29"/>
        <v>0</v>
      </c>
      <c r="AY33" s="140">
        <v>29</v>
      </c>
      <c r="AZ33" s="141">
        <f t="shared" si="30"/>
        <v>0</v>
      </c>
      <c r="BA33" s="19">
        <f t="shared" si="31"/>
        <v>14.764757027322602</v>
      </c>
      <c r="BB33" s="142">
        <f t="shared" si="32"/>
        <v>5.4481953430820405E-3</v>
      </c>
      <c r="BC33" s="19">
        <f t="shared" si="78"/>
        <v>18.214676473122143</v>
      </c>
      <c r="BD33" s="79">
        <f t="shared" si="33"/>
        <v>6.721215618582071E-3</v>
      </c>
      <c r="BE33" s="144">
        <f t="shared" si="34"/>
        <v>4.3225931243287257E-3</v>
      </c>
      <c r="BF33" s="148">
        <f t="shared" si="35"/>
        <v>3.5013004307062673E-3</v>
      </c>
      <c r="BG33" s="144">
        <f t="shared" si="36"/>
        <v>9.3302103059902303E-2</v>
      </c>
      <c r="BH33" s="152">
        <f t="shared" si="37"/>
        <v>1.9839456680683699E-2</v>
      </c>
      <c r="BI33" s="28">
        <f t="shared" si="38"/>
        <v>9.3302103059902303E-2</v>
      </c>
      <c r="BJ33" s="29">
        <f t="shared" si="39"/>
        <v>1.9839456680683699E-2</v>
      </c>
      <c r="BK33" s="28">
        <f t="shared" si="40"/>
        <v>0</v>
      </c>
      <c r="BL33" s="29">
        <f t="shared" si="41"/>
        <v>0</v>
      </c>
      <c r="BM33" s="28">
        <f t="shared" si="42"/>
        <v>0</v>
      </c>
      <c r="BN33" s="29">
        <f t="shared" si="43"/>
        <v>0</v>
      </c>
      <c r="BO33" s="28">
        <f t="shared" si="44"/>
        <v>0</v>
      </c>
      <c r="BP33" s="29">
        <f t="shared" si="45"/>
        <v>0</v>
      </c>
      <c r="BQ33" s="150">
        <f t="shared" si="46"/>
        <v>0</v>
      </c>
      <c r="BR33" s="29">
        <f t="shared" si="47"/>
        <v>0</v>
      </c>
      <c r="BS33" s="91">
        <f t="shared" si="79"/>
        <v>0.23410701303620701</v>
      </c>
      <c r="BT33" s="206">
        <f t="shared" si="80"/>
        <v>0.23410701303620701</v>
      </c>
      <c r="BU33" s="206">
        <f t="shared" si="81"/>
        <v>0.23410701303620701</v>
      </c>
      <c r="BV33" s="97">
        <f t="shared" si="82"/>
        <v>0.23955520837928906</v>
      </c>
      <c r="BW33" s="123">
        <f t="shared" si="83"/>
        <v>0.24082822865478909</v>
      </c>
      <c r="BX33" s="91">
        <f>(M33^2)*'Fly-Buck_Calc'!$B$80</f>
        <v>2.1608732765078485E-3</v>
      </c>
      <c r="BY33" s="92">
        <f t="shared" si="48"/>
        <v>5.0000000000000001E-3</v>
      </c>
      <c r="BZ33" s="92">
        <f t="shared" si="49"/>
        <v>5.0000000000000001E-3</v>
      </c>
      <c r="CA33" s="92">
        <f t="shared" si="50"/>
        <v>0</v>
      </c>
      <c r="CB33" s="92">
        <f t="shared" si="51"/>
        <v>0</v>
      </c>
      <c r="CC33" s="92">
        <f t="shared" si="52"/>
        <v>0</v>
      </c>
      <c r="CD33" s="92">
        <f t="shared" si="53"/>
        <v>0</v>
      </c>
      <c r="CE33" s="127">
        <f t="shared" si="84"/>
        <v>1.2160873276507849E-2</v>
      </c>
      <c r="CF33" s="91">
        <f t="shared" si="85"/>
        <v>8.9521892883896569E-3</v>
      </c>
      <c r="CG33" s="92">
        <f t="shared" si="54"/>
        <v>0.15810000000000002</v>
      </c>
      <c r="CH33" s="206">
        <f t="shared" si="55"/>
        <v>8.333333333333335E-3</v>
      </c>
      <c r="CI33" s="92">
        <f t="shared" si="56"/>
        <v>0.18972</v>
      </c>
      <c r="CJ33" s="93">
        <f t="shared" si="57"/>
        <v>0.09</v>
      </c>
      <c r="CK33" s="92">
        <f t="shared" si="58"/>
        <v>0.45510552262172299</v>
      </c>
      <c r="CL33" s="188">
        <f t="shared" si="59"/>
        <v>0.15</v>
      </c>
      <c r="CM33" s="206">
        <f t="shared" si="60"/>
        <v>0.15</v>
      </c>
      <c r="CN33" s="206">
        <f t="shared" si="61"/>
        <v>0</v>
      </c>
      <c r="CO33" s="206">
        <f t="shared" si="62"/>
        <v>0</v>
      </c>
      <c r="CP33" s="206">
        <f t="shared" si="63"/>
        <v>0</v>
      </c>
      <c r="CQ33" s="227">
        <f t="shared" si="64"/>
        <v>0</v>
      </c>
      <c r="CR33" s="231">
        <f t="shared" si="86"/>
        <v>0.3</v>
      </c>
      <c r="CS33" s="206">
        <f t="shared" si="65"/>
        <v>0.76726639589823076</v>
      </c>
      <c r="CT33" s="206">
        <f t="shared" si="66"/>
        <v>5.7672663958982309</v>
      </c>
      <c r="CU33" s="206">
        <f t="shared" si="67"/>
        <v>0.86696185970463879</v>
      </c>
      <c r="CV33">
        <f t="shared" si="68"/>
        <v>31.62</v>
      </c>
    </row>
    <row r="34" spans="1:100" x14ac:dyDescent="0.25">
      <c r="A34" s="12" t="s">
        <v>122</v>
      </c>
      <c r="B34" s="8">
        <f>VLOOKUP(ILrms_Total_Max_FB,U4:AU54,10,FALSE)</f>
        <v>0.75060810611254825</v>
      </c>
      <c r="C34" s="12" t="s">
        <v>6</v>
      </c>
      <c r="K34">
        <v>30</v>
      </c>
      <c r="L34" s="91">
        <f t="shared" si="0"/>
        <v>32.400000000000006</v>
      </c>
      <c r="M34" s="93">
        <f t="shared" si="1"/>
        <v>0.1714677640603566</v>
      </c>
      <c r="N34" s="122">
        <f t="shared" si="69"/>
        <v>7.3871332315310874E-5</v>
      </c>
      <c r="O34" s="97">
        <f t="shared" si="70"/>
        <v>6.6484199083779799E-5</v>
      </c>
      <c r="P34" s="123">
        <f t="shared" si="71"/>
        <v>6.0440180985254348E-5</v>
      </c>
      <c r="Q34" s="127">
        <f t="shared" si="72"/>
        <v>0.15432098765432095</v>
      </c>
      <c r="R34" s="91">
        <f t="shared" si="73"/>
        <v>1.1111111111111112</v>
      </c>
      <c r="S34" s="92">
        <f t="shared" si="2"/>
        <v>0.3355869096609837</v>
      </c>
      <c r="T34" s="92">
        <f t="shared" si="74"/>
        <v>1.278904565941603</v>
      </c>
      <c r="U34" s="92">
        <f t="shared" si="3"/>
        <v>1.602998056084717</v>
      </c>
      <c r="V34" s="93">
        <f t="shared" si="75"/>
        <v>0.43814155472252758</v>
      </c>
      <c r="W34" s="92">
        <f t="shared" si="76"/>
        <v>0.403195768656884</v>
      </c>
      <c r="X34" s="117">
        <f t="shared" si="4"/>
        <v>0.59124087591240881</v>
      </c>
      <c r="Y34" s="103">
        <f t="shared" si="5"/>
        <v>0.29867115491365581</v>
      </c>
      <c r="Z34" s="103">
        <f t="shared" si="6"/>
        <v>0.54946061385008937</v>
      </c>
      <c r="AA34" s="118">
        <f t="shared" si="7"/>
        <v>0.22783100353664995</v>
      </c>
      <c r="AB34" s="117">
        <f t="shared" si="8"/>
        <v>0.59124087591240881</v>
      </c>
      <c r="AC34" s="103">
        <f t="shared" si="9"/>
        <v>0.29867115491365581</v>
      </c>
      <c r="AD34" s="103">
        <f t="shared" si="10"/>
        <v>0.54946061385008937</v>
      </c>
      <c r="AE34" s="118">
        <f t="shared" si="11"/>
        <v>0.22783100353664995</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21">
        <f t="shared" si="28"/>
        <v>2.7063460456530946E-2</v>
      </c>
      <c r="AW34" s="21">
        <f t="shared" si="77"/>
        <v>0</v>
      </c>
      <c r="AX34" s="139">
        <f t="shared" si="29"/>
        <v>0</v>
      </c>
      <c r="AY34" s="140">
        <v>30</v>
      </c>
      <c r="AZ34" s="141">
        <f t="shared" si="30"/>
        <v>0</v>
      </c>
      <c r="BA34" s="19">
        <f t="shared" si="31"/>
        <v>14.943014604445253</v>
      </c>
      <c r="BB34" s="142">
        <f t="shared" si="32"/>
        <v>5.5139723890402989E-3</v>
      </c>
      <c r="BC34" s="19">
        <f t="shared" si="78"/>
        <v>18.417959122934175</v>
      </c>
      <c r="BD34" s="79">
        <f t="shared" si="33"/>
        <v>6.7962269163627104E-3</v>
      </c>
      <c r="BE34" s="144">
        <f t="shared" si="34"/>
        <v>4.11697347677192E-3</v>
      </c>
      <c r="BF34" s="148">
        <f t="shared" si="35"/>
        <v>3.3347485161852558E-3</v>
      </c>
      <c r="BG34" s="144">
        <f t="shared" si="36"/>
        <v>9.3302103059902303E-2</v>
      </c>
      <c r="BH34" s="152">
        <f t="shared" si="37"/>
        <v>1.9372116429420175E-2</v>
      </c>
      <c r="BI34" s="28">
        <f t="shared" si="38"/>
        <v>9.3302103059902303E-2</v>
      </c>
      <c r="BJ34" s="29">
        <f t="shared" si="39"/>
        <v>1.9372116429420175E-2</v>
      </c>
      <c r="BK34" s="28">
        <f t="shared" si="40"/>
        <v>0</v>
      </c>
      <c r="BL34" s="29">
        <f t="shared" si="41"/>
        <v>0</v>
      </c>
      <c r="BM34" s="28">
        <f t="shared" si="42"/>
        <v>0</v>
      </c>
      <c r="BN34" s="29">
        <f t="shared" si="43"/>
        <v>0</v>
      </c>
      <c r="BO34" s="28">
        <f t="shared" si="44"/>
        <v>0</v>
      </c>
      <c r="BP34" s="29">
        <f t="shared" si="45"/>
        <v>0</v>
      </c>
      <c r="BQ34" s="150">
        <f t="shared" si="46"/>
        <v>0</v>
      </c>
      <c r="BR34" s="29">
        <f t="shared" si="47"/>
        <v>0</v>
      </c>
      <c r="BS34" s="91">
        <f t="shared" si="79"/>
        <v>0.23280016097160211</v>
      </c>
      <c r="BT34" s="206">
        <f t="shared" si="80"/>
        <v>0.23280016097160211</v>
      </c>
      <c r="BU34" s="206">
        <f t="shared" si="81"/>
        <v>0.23280016097160211</v>
      </c>
      <c r="BV34" s="97">
        <f t="shared" si="82"/>
        <v>0.23831413336064242</v>
      </c>
      <c r="BW34" s="123">
        <f t="shared" si="83"/>
        <v>0.23959638788796483</v>
      </c>
      <c r="BX34" s="91">
        <f>(M34^2)*'Fly-Buck_Calc'!$B$80</f>
        <v>2.0580835878300685E-3</v>
      </c>
      <c r="BY34" s="92">
        <f t="shared" si="48"/>
        <v>5.0000000000000001E-3</v>
      </c>
      <c r="BZ34" s="92">
        <f t="shared" si="49"/>
        <v>5.0000000000000001E-3</v>
      </c>
      <c r="CA34" s="92">
        <f t="shared" si="50"/>
        <v>0</v>
      </c>
      <c r="CB34" s="92">
        <f t="shared" si="51"/>
        <v>0</v>
      </c>
      <c r="CC34" s="92">
        <f t="shared" si="52"/>
        <v>0</v>
      </c>
      <c r="CD34" s="92">
        <f t="shared" si="53"/>
        <v>0</v>
      </c>
      <c r="CE34" s="127">
        <f t="shared" si="84"/>
        <v>1.205808358783007E-2</v>
      </c>
      <c r="CF34" s="91">
        <f t="shared" si="85"/>
        <v>8.5263462924388533E-3</v>
      </c>
      <c r="CG34" s="92">
        <f t="shared" si="54"/>
        <v>0.16200000000000006</v>
      </c>
      <c r="CH34" s="206">
        <f t="shared" si="55"/>
        <v>8.333333333333335E-3</v>
      </c>
      <c r="CI34" s="92">
        <f t="shared" si="56"/>
        <v>0.19440000000000004</v>
      </c>
      <c r="CJ34" s="93">
        <f t="shared" si="57"/>
        <v>0.09</v>
      </c>
      <c r="CK34" s="92">
        <f t="shared" si="58"/>
        <v>0.4632596796257723</v>
      </c>
      <c r="CL34" s="188">
        <f t="shared" si="59"/>
        <v>0.15</v>
      </c>
      <c r="CM34" s="206">
        <f t="shared" si="60"/>
        <v>0.15</v>
      </c>
      <c r="CN34" s="206">
        <f t="shared" si="61"/>
        <v>0</v>
      </c>
      <c r="CO34" s="206">
        <f t="shared" si="62"/>
        <v>0</v>
      </c>
      <c r="CP34" s="206">
        <f t="shared" si="63"/>
        <v>0</v>
      </c>
      <c r="CQ34" s="227">
        <f t="shared" si="64"/>
        <v>0</v>
      </c>
      <c r="CR34" s="231">
        <f t="shared" si="86"/>
        <v>0.3</v>
      </c>
      <c r="CS34" s="206">
        <f t="shared" si="65"/>
        <v>0.77531776321360235</v>
      </c>
      <c r="CT34" s="206">
        <f t="shared" si="66"/>
        <v>5.7753177632136019</v>
      </c>
      <c r="CU34" s="206">
        <f t="shared" si="67"/>
        <v>0.86575322865313886</v>
      </c>
      <c r="CV34">
        <f t="shared" si="68"/>
        <v>32.400000000000006</v>
      </c>
    </row>
    <row r="35" spans="1:100" x14ac:dyDescent="0.25">
      <c r="A35" s="12" t="s">
        <v>123</v>
      </c>
      <c r="B35" s="8">
        <f>VLOOKUP(ILrms_Total_Max_FB,U4:AU54,14,FALSE)</f>
        <v>0</v>
      </c>
      <c r="C35" s="12" t="s">
        <v>6</v>
      </c>
      <c r="K35">
        <v>31</v>
      </c>
      <c r="L35" s="91">
        <f t="shared" si="0"/>
        <v>33.18</v>
      </c>
      <c r="M35" s="93">
        <f t="shared" si="1"/>
        <v>0.16743687629763579</v>
      </c>
      <c r="N35" s="122">
        <f t="shared" si="69"/>
        <v>7.4188226007348689E-5</v>
      </c>
      <c r="O35" s="97">
        <f t="shared" si="70"/>
        <v>6.6769403406613816E-5</v>
      </c>
      <c r="P35" s="123">
        <f t="shared" si="71"/>
        <v>6.0699457642376187E-5</v>
      </c>
      <c r="Q35" s="127">
        <f t="shared" si="72"/>
        <v>0.15069318866787221</v>
      </c>
      <c r="R35" s="91">
        <f t="shared" si="73"/>
        <v>1.1111111111111112</v>
      </c>
      <c r="S35" s="92">
        <f t="shared" si="2"/>
        <v>0.337026512433384</v>
      </c>
      <c r="T35" s="92">
        <f t="shared" si="74"/>
        <v>1.2796243673278032</v>
      </c>
      <c r="U35" s="92">
        <f t="shared" si="3"/>
        <v>1.5955500096148463</v>
      </c>
      <c r="V35" s="93">
        <f t="shared" si="75"/>
        <v>0.43297502349174155</v>
      </c>
      <c r="W35" s="92">
        <f t="shared" si="76"/>
        <v>0.39928969861914088</v>
      </c>
      <c r="X35" s="117">
        <f t="shared" si="4"/>
        <v>0.58871540099361241</v>
      </c>
      <c r="Y35" s="103">
        <f t="shared" si="5"/>
        <v>0.2999523962561268</v>
      </c>
      <c r="Z35" s="103">
        <f t="shared" si="6"/>
        <v>0.5483844274165588</v>
      </c>
      <c r="AA35" s="118">
        <f t="shared" si="7"/>
        <v>0.22522317872054612</v>
      </c>
      <c r="AB35" s="117">
        <f t="shared" si="8"/>
        <v>0.58871540099361241</v>
      </c>
      <c r="AC35" s="103">
        <f t="shared" si="9"/>
        <v>0.2999523962561268</v>
      </c>
      <c r="AD35" s="103">
        <f t="shared" si="10"/>
        <v>0.5483844274165588</v>
      </c>
      <c r="AE35" s="118">
        <f t="shared" si="11"/>
        <v>0.22522317872054612</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21">
        <f t="shared" si="28"/>
        <v>2.7179557454305163E-2</v>
      </c>
      <c r="AW35" s="21">
        <f t="shared" si="77"/>
        <v>0</v>
      </c>
      <c r="AX35" s="139">
        <f t="shared" si="29"/>
        <v>0</v>
      </c>
      <c r="AY35" s="140">
        <v>31</v>
      </c>
      <c r="AZ35" s="141">
        <f t="shared" si="30"/>
        <v>0</v>
      </c>
      <c r="BA35" s="19">
        <f t="shared" si="31"/>
        <v>15.11413530510977</v>
      </c>
      <c r="BB35" s="142">
        <f t="shared" si="32"/>
        <v>5.5771159275855046E-3</v>
      </c>
      <c r="BC35" s="19">
        <f t="shared" si="78"/>
        <v>18.612931487697246</v>
      </c>
      <c r="BD35" s="79">
        <f t="shared" si="33"/>
        <v>6.8681717189602838E-3</v>
      </c>
      <c r="BE35" s="144">
        <f t="shared" si="34"/>
        <v>3.925683893628679E-3</v>
      </c>
      <c r="BF35" s="148">
        <f t="shared" si="35"/>
        <v>3.17980395383923E-3</v>
      </c>
      <c r="BG35" s="144">
        <f t="shared" si="36"/>
        <v>9.3302103059902303E-2</v>
      </c>
      <c r="BH35" s="152">
        <f t="shared" si="37"/>
        <v>1.8931175937844782E-2</v>
      </c>
      <c r="BI35" s="28">
        <f t="shared" si="38"/>
        <v>9.3302103059902303E-2</v>
      </c>
      <c r="BJ35" s="29">
        <f t="shared" si="39"/>
        <v>1.8931175937844782E-2</v>
      </c>
      <c r="BK35" s="28">
        <f t="shared" si="40"/>
        <v>0</v>
      </c>
      <c r="BL35" s="29">
        <f t="shared" si="41"/>
        <v>0</v>
      </c>
      <c r="BM35" s="28">
        <f t="shared" si="42"/>
        <v>0</v>
      </c>
      <c r="BN35" s="29">
        <f t="shared" si="43"/>
        <v>0</v>
      </c>
      <c r="BO35" s="28">
        <f t="shared" si="44"/>
        <v>0</v>
      </c>
      <c r="BP35" s="29">
        <f t="shared" si="45"/>
        <v>0</v>
      </c>
      <c r="BQ35" s="150">
        <f t="shared" si="46"/>
        <v>0</v>
      </c>
      <c r="BR35" s="29">
        <f t="shared" si="47"/>
        <v>0</v>
      </c>
      <c r="BS35" s="91">
        <f t="shared" si="79"/>
        <v>0.23157204584296209</v>
      </c>
      <c r="BT35" s="206">
        <f t="shared" si="80"/>
        <v>0.23157204584296209</v>
      </c>
      <c r="BU35" s="206">
        <f t="shared" si="81"/>
        <v>0.23157204584296209</v>
      </c>
      <c r="BV35" s="97">
        <f t="shared" si="82"/>
        <v>0.2371491617705476</v>
      </c>
      <c r="BW35" s="123">
        <f t="shared" si="83"/>
        <v>0.23844021756192238</v>
      </c>
      <c r="BX35" s="91">
        <f>(M35^2)*'Fly-Buck_Calc'!$B$80</f>
        <v>1.9624575281016856E-3</v>
      </c>
      <c r="BY35" s="92">
        <f t="shared" si="48"/>
        <v>5.0000000000000001E-3</v>
      </c>
      <c r="BZ35" s="92">
        <f t="shared" si="49"/>
        <v>5.0000000000000001E-3</v>
      </c>
      <c r="CA35" s="92">
        <f t="shared" si="50"/>
        <v>0</v>
      </c>
      <c r="CB35" s="92">
        <f t="shared" si="51"/>
        <v>0</v>
      </c>
      <c r="CC35" s="92">
        <f t="shared" si="52"/>
        <v>0</v>
      </c>
      <c r="CD35" s="92">
        <f t="shared" si="53"/>
        <v>0</v>
      </c>
      <c r="CE35" s="127">
        <f t="shared" si="84"/>
        <v>1.1962457528101687E-2</v>
      </c>
      <c r="CF35" s="91">
        <f t="shared" si="85"/>
        <v>8.1301811878498383E-3</v>
      </c>
      <c r="CG35" s="92">
        <f t="shared" si="54"/>
        <v>0.16590000000000002</v>
      </c>
      <c r="CH35" s="206">
        <f t="shared" si="55"/>
        <v>8.333333333333335E-3</v>
      </c>
      <c r="CI35" s="92">
        <f t="shared" si="56"/>
        <v>0.19908000000000001</v>
      </c>
      <c r="CJ35" s="93">
        <f t="shared" si="57"/>
        <v>0.09</v>
      </c>
      <c r="CK35" s="92">
        <f t="shared" si="58"/>
        <v>0.47144351452118316</v>
      </c>
      <c r="CL35" s="188">
        <f t="shared" si="59"/>
        <v>0.15</v>
      </c>
      <c r="CM35" s="206">
        <f t="shared" si="60"/>
        <v>0.15</v>
      </c>
      <c r="CN35" s="206">
        <f t="shared" si="61"/>
        <v>0</v>
      </c>
      <c r="CO35" s="206">
        <f t="shared" si="62"/>
        <v>0</v>
      </c>
      <c r="CP35" s="206">
        <f t="shared" si="63"/>
        <v>0</v>
      </c>
      <c r="CQ35" s="227">
        <f t="shared" si="64"/>
        <v>0</v>
      </c>
      <c r="CR35" s="231">
        <f t="shared" si="86"/>
        <v>0.3</v>
      </c>
      <c r="CS35" s="206">
        <f t="shared" si="65"/>
        <v>0.78340597204928475</v>
      </c>
      <c r="CT35" s="206">
        <f t="shared" si="66"/>
        <v>5.7834059720492847</v>
      </c>
      <c r="CU35" s="206">
        <f t="shared" si="67"/>
        <v>0.8645424554604294</v>
      </c>
      <c r="CV35">
        <f t="shared" si="68"/>
        <v>33.18</v>
      </c>
    </row>
    <row r="36" spans="1:100" x14ac:dyDescent="0.25">
      <c r="A36" s="12" t="s">
        <v>124</v>
      </c>
      <c r="B36" s="8">
        <f>VLOOKUP(ILrms_Total_Max_FB,U4:AU54,18,FALSE)</f>
        <v>0</v>
      </c>
      <c r="C36" s="12" t="s">
        <v>6</v>
      </c>
      <c r="K36">
        <v>32</v>
      </c>
      <c r="L36" s="91">
        <f t="shared" ref="L36:L54" si="87">VinMin+(K36*DC_Step)</f>
        <v>33.96</v>
      </c>
      <c r="M36" s="93">
        <f t="shared" ref="M36:M54" si="88">Pout_FB/(L36*eff)</f>
        <v>0.16359115299044627</v>
      </c>
      <c r="N36" s="122">
        <f t="shared" si="69"/>
        <v>7.4490562745335289E-5</v>
      </c>
      <c r="O36" s="97">
        <f t="shared" si="70"/>
        <v>6.7041506470801764E-5</v>
      </c>
      <c r="P36" s="123">
        <f t="shared" si="71"/>
        <v>6.0946824064365224E-5</v>
      </c>
      <c r="Q36" s="127">
        <f t="shared" si="72"/>
        <v>0.14723203769140164</v>
      </c>
      <c r="R36" s="91">
        <f t="shared" si="73"/>
        <v>1.1111111111111112</v>
      </c>
      <c r="S36" s="92">
        <f t="shared" ref="S36:S54" si="89">((L36-VoutPri_FB)*Q36)/(Lm_FlyB*Fsw)</f>
        <v>0.3383999850430946</v>
      </c>
      <c r="T36" s="92">
        <f t="shared" si="74"/>
        <v>1.2803111036326584</v>
      </c>
      <c r="U36" s="92">
        <f t="shared" ref="U36:U54" si="90">SUM(V36,(Ns1_FlyB/Np)*Z36,(Ns2_FlyB/Np)*AD36,(Ns3_FlyB/Np)*AH36,(Ns4_FlyB/Np)*AL36,(Ns5_FlyB/Np)*AP36,(Ns6_FlyB/Np)*AT36)</f>
        <v>1.5884018554307353</v>
      </c>
      <c r="V36" s="93">
        <f t="shared" ref="V36:V54" si="91">R36*SQRT(Q36)*SQRT(1+((1/3)*(S36/(2*R36))^2))</f>
        <v>0.42798710881381297</v>
      </c>
      <c r="W36" s="92">
        <f t="shared" si="76"/>
        <v>0.39548817931015706</v>
      </c>
      <c r="X36" s="117">
        <f t="shared" ref="X36:X54" si="92">IF(AND(Vout1&lt;&gt;0,Iout1&lt;&gt;0,Ns1_FlyB&lt;&gt;0),(Iout1/(1-Q36)),0)</f>
        <v>0.58632596685082872</v>
      </c>
      <c r="Y36" s="103">
        <f t="shared" ref="Y36:Y54" si="93">IF(AND(Vout1&lt;&gt;0,Iout1&lt;&gt;0,Ns1_FlyB&lt;&gt;0),(ABS(Vout1)*(1-Q36))/(((n1_FlyB/Np)^2)*Lm_FlyB*Fsw),0)</f>
        <v>0.3011747819892262</v>
      </c>
      <c r="Z36" s="103">
        <f t="shared" ref="Z36:Z54" si="94">IF(AND(Vout1&lt;&gt;0,Iout1&lt;&gt;0,Ns1_FlyB&lt;&gt;0),X36*SQRT(1-Q36)*SQRT(1+((1/3)*((Y36/(2*X36))^2))),0)</f>
        <v>0.54736544651741625</v>
      </c>
      <c r="AA36" s="118">
        <f t="shared" ref="AA36:AA54" si="95">IF(AND(Vout1&lt;&gt;0,Iout1&lt;&gt;0,Ns1_FlyB&lt;&gt;0),SQRT((Z36^2)-(Iout1^2)),0)</f>
        <v>0.22273062663497914</v>
      </c>
      <c r="AB36" s="117">
        <f t="shared" ref="AB36:AB54" si="96">IF(AND(Vout2&lt;&gt;0,Iout2&lt;&gt;0,Ns2_FlyB&lt;&gt;0),(Iout2/(1-Q36)),0)</f>
        <v>0.58632596685082872</v>
      </c>
      <c r="AC36" s="103">
        <f t="shared" ref="AC36:AC54" si="97">IF(AND(Vout2&lt;&gt;0,Iout2&lt;&gt;0,Ns2_FlyB&lt;&gt;0),(ABS(Vout2)*(1-Q36))/(((n2_FlyB/Np)^2)*Lm_FlyB*Fsw),0)</f>
        <v>0.3011747819892262</v>
      </c>
      <c r="AD36" s="103">
        <f t="shared" ref="AD36:AD54" si="98">IF(AND(Vout2&lt;&gt;0,Iout2&lt;&gt;0,Ns2_FlyB&lt;&gt;0),AB36*SQRT(1-Q36)*SQRT(1+((1/3)*((AC36/(2*AB36))^2))),0)</f>
        <v>0.54736544651741625</v>
      </c>
      <c r="AE36" s="118">
        <f t="shared" ref="AE36:AE54" si="99">IF(AND(Vout2&lt;&gt;0,Iout2&lt;&gt;0,Ns2_FlyB&lt;&gt;0),SQRT((AD36^2)-(Iout2^2)),0)</f>
        <v>0.22273062663497914</v>
      </c>
      <c r="AF36" s="117">
        <f t="shared" ref="AF36:AF54" si="100">IF(AND(Vout3&lt;&gt;0,Iout3&lt;&gt;0,Ns3_FlyB&lt;&gt;0),(Iout3/(1-Q36)),0)</f>
        <v>0</v>
      </c>
      <c r="AG36" s="103">
        <f t="shared" ref="AG36:AG54" si="101">IF(AND(Vout3&lt;&gt;0,Iout3&lt;&gt;0,Ns3_FlyB&lt;&gt;0),(ABS(Vout3)*(1-Q36))/(((n3_FlyB/Np)^2)*Lm_FlyB*Fsw),0)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IF(AND(Vout4&lt;&gt;0,Iout4&lt;&gt;0,Ns4_FlyB&lt;&gt;0),(Iout4/(1-Q36)),0)</f>
        <v>0</v>
      </c>
      <c r="AK36" s="103">
        <f t="shared" ref="AK36:AK54" si="105">IF(AND(Vout4&lt;&gt;0,Iout4&lt;&gt;0,Ns4_FlyB&lt;&gt;0),(ABS(Vout4)*(1-Q36))/(((n4_FlyB/Np)^2)*Lm_FlyB*Fsw),0)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IF(AND(Vout5&lt;&gt;0,Iout5&lt;&gt;0,Ns5_FlyB&lt;&gt;0),(Iout5/(1-Q36)),0)</f>
        <v>0</v>
      </c>
      <c r="AO36" s="103">
        <f t="shared" ref="AO36:AO54" si="109">IF(AND(Vout5&lt;&gt;0,Iout5&lt;&gt;0,Ns5_FlyB&lt;&gt;0),(ABS(Vout5)*(1-Q36))/(((n5_FlyB/Np)^2)*Lm_FlyB*Fsw),0)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IF(AND(Vout6&lt;&gt;0,Iout6&lt;&gt;0,Ns6_FlyB&lt;&gt;0),(Iout6/(1-Q36)),0)</f>
        <v>0</v>
      </c>
      <c r="AS36" s="103">
        <f t="shared" ref="AS36:AS54" si="113">IF(AND(Vout6&lt;&gt;0,Iout6&lt;&gt;0,Ns6_FlyB&lt;&gt;0),(ABS(Vout6)*(1-Q36))/(((n6_FlyB/Np)^2)*Lm_FlyB*Fsw),0)</f>
        <v>0</v>
      </c>
      <c r="AT36" s="103">
        <f t="shared" ref="AT36:AT54" si="114">IF(AND(Vout6&lt;&gt;0,Iout6&lt;&gt;0,Ns6_FlyB&lt;&gt;0),AP36*SQRT(1-Q36)*SQRT(1+((1/3)*((AP36/(2*AR36))^2))),0)</f>
        <v>0</v>
      </c>
      <c r="AU36" s="118">
        <f t="shared" ref="AU36:AU54" si="115">IF(AND(Vout6&lt;&gt;0,Iout6&lt;&gt;0,Ns6_FlyB&lt;&gt;0),SQRT((AT36^2)-(Iout6^2)),0)</f>
        <v>0</v>
      </c>
      <c r="AV36" s="21">
        <f t="shared" ref="AV36:AV54" si="116">(((L36-VoutPri_FB)*Q36)/(2*Np_T_FB*(Ae_FB/100)*Fsw))*(10^4)</f>
        <v>2.7290321374443111E-2</v>
      </c>
      <c r="AW36" s="21">
        <f t="shared" si="77"/>
        <v>0</v>
      </c>
      <c r="AX36" s="139">
        <f t="shared" ref="AX36:AX54" si="117">AW36*(Ve_FB/1000)</f>
        <v>0</v>
      </c>
      <c r="AY36" s="140">
        <v>32</v>
      </c>
      <c r="AZ36" s="141">
        <f t="shared" ref="AZ36:AZ54" si="118">CM_3F36*(Fsw^x_3F36)*(AV36^y_3F36)*(TC_3F36)*(Ve_FB/1000)</f>
        <v>0</v>
      </c>
      <c r="BA36" s="19">
        <f t="shared" ref="BA36:BA54" si="119">CM_3C92*(Fsw^x_3C92)*(AV36^y_3C92)*(TC_3C92)/1000</f>
        <v>15.278530341529331</v>
      </c>
      <c r="BB36" s="142">
        <f t="shared" ref="BB36:BB54" si="120">(Ve_FB/1000)*BA36/1000</f>
        <v>5.6377776960243233E-3</v>
      </c>
      <c r="BC36" s="19">
        <f t="shared" si="78"/>
        <v>18.800084452228617</v>
      </c>
      <c r="BD36" s="79">
        <f t="shared" ref="BD36:BD54" si="121">((Ve_FB/1000)*BC36)/1000</f>
        <v>6.93723116287236E-3</v>
      </c>
      <c r="BE36" s="144">
        <f t="shared" ref="BE36:BE54" si="122">(M36^2)*RdcPri_FB</f>
        <v>3.7474230725402131E-3</v>
      </c>
      <c r="BF36" s="148">
        <f t="shared" ref="BF36:BF54" si="123">(Q36^2)*(RacPri_FB)</f>
        <v>3.0354126887575726E-3</v>
      </c>
      <c r="BG36" s="144">
        <f t="shared" ref="BG36:BG54" si="124">(Iout1^2)*Rdc1_FB</f>
        <v>9.3302103059902303E-2</v>
      </c>
      <c r="BH36" s="152">
        <f t="shared" ref="BH36:BH54" si="125">(AA36^2)*Rac1_FB</f>
        <v>1.851447076000284E-2</v>
      </c>
      <c r="BI36" s="28">
        <f t="shared" ref="BI36:BI54" si="126">(Iout2^2)*Rdc2_FB</f>
        <v>9.3302103059902303E-2</v>
      </c>
      <c r="BJ36" s="29">
        <f t="shared" ref="BJ36:BJ54" si="127">(AE36^2)*Rac2_FB</f>
        <v>1.851447076000284E-2</v>
      </c>
      <c r="BK36" s="28">
        <f t="shared" ref="BK36:BK54" si="128">(Iout3^2)*Rdc3_FB</f>
        <v>0</v>
      </c>
      <c r="BL36" s="29">
        <f t="shared" ref="BL36:BL54" si="129">(AI36^2)*Rac3_FB</f>
        <v>0</v>
      </c>
      <c r="BM36" s="28">
        <f t="shared" ref="BM36:BM54" si="130">(Iout4^2)*Rdc4_FB</f>
        <v>0</v>
      </c>
      <c r="BN36" s="29">
        <f t="shared" ref="BN36:BN54" si="131">(AM36^2)*Rac4_FB</f>
        <v>0</v>
      </c>
      <c r="BO36" s="28">
        <f t="shared" ref="BO36:BO54" si="132">(Iout5^2)*Rdc5_FB</f>
        <v>0</v>
      </c>
      <c r="BP36" s="29">
        <f t="shared" ref="BP36:BP54" si="133">(AQ36^2)*Rac5_FB</f>
        <v>0</v>
      </c>
      <c r="BQ36" s="150">
        <f t="shared" ref="BQ36:BQ54" si="134">(Iout6^2)*Rdc6_FB</f>
        <v>0</v>
      </c>
      <c r="BR36" s="29">
        <f t="shared" ref="BR36:BR54" si="135">(AU36^2)*Rac6_FB</f>
        <v>0</v>
      </c>
      <c r="BS36" s="91">
        <f t="shared" si="79"/>
        <v>0.23041598340110808</v>
      </c>
      <c r="BT36" s="206">
        <f t="shared" si="80"/>
        <v>0.23041598340110808</v>
      </c>
      <c r="BU36" s="206">
        <f t="shared" si="81"/>
        <v>0.23041598340110808</v>
      </c>
      <c r="BV36" s="97">
        <f t="shared" si="82"/>
        <v>0.23605376109713241</v>
      </c>
      <c r="BW36" s="123">
        <f t="shared" si="83"/>
        <v>0.23735321456398045</v>
      </c>
      <c r="BX36" s="91">
        <f>(M36^2)*'Fly-Buck_Calc'!$B$80</f>
        <v>1.8733445735720519E-3</v>
      </c>
      <c r="BY36" s="92">
        <f t="shared" ref="BY36:BY54" si="136">IF(AND(Vout1&lt;&gt;0,Iout1&lt;&gt;0),(Iout1^2)*$B$81,0)</f>
        <v>5.0000000000000001E-3</v>
      </c>
      <c r="BZ36" s="92">
        <f t="shared" ref="BZ36:BZ54" si="137">IF(AND(Vout2&lt;&gt;0,Iout2&lt;&gt;0),(Iout2^2)*$B$82,0)</f>
        <v>5.0000000000000001E-3</v>
      </c>
      <c r="CA36" s="92">
        <f t="shared" ref="CA36:CA54" si="138">IF(AND(Vout3&lt;&gt;0,Iout3&lt;&gt;0),(Iout3^2)*$B$83,0)</f>
        <v>0</v>
      </c>
      <c r="CB36" s="92">
        <f t="shared" ref="CB36:CB54" si="139">IF(AND(Vout4&lt;&gt;0,Iout4&lt;&gt;0),(Iout4^2)*$B$84,0)</f>
        <v>0</v>
      </c>
      <c r="CC36" s="92">
        <f t="shared" ref="CC36:CC54" si="140">IF(AND(Vout5&lt;&gt;0,Iout5&lt;&gt;0),(Iout5^2)*$B$85,0)</f>
        <v>0</v>
      </c>
      <c r="CD36" s="92">
        <f t="shared" ref="CD36:CD54" si="141">IF(AND(Vout6&lt;&gt;0,Iout6&lt;&gt;0),(Iout6^2)*$B$86,0)</f>
        <v>0</v>
      </c>
      <c r="CE36" s="127">
        <f t="shared" si="84"/>
        <v>1.1873344573572052E-2</v>
      </c>
      <c r="CF36" s="91">
        <f t="shared" si="85"/>
        <v>7.7609989476556422E-3</v>
      </c>
      <c r="CG36" s="92">
        <f t="shared" ref="CG36:CG54" si="142">0.5*L36*R36*Fsw*T_Rise_Fall</f>
        <v>0.16980000000000003</v>
      </c>
      <c r="CH36" s="206">
        <f t="shared" ref="CH36:CH54" si="143">R36*$B$75*1*Fsw</f>
        <v>8.333333333333335E-3</v>
      </c>
      <c r="CI36" s="92">
        <f t="shared" ref="CI36:CI54" si="144">$B$76*Fsw*L36</f>
        <v>0.20376</v>
      </c>
      <c r="CJ36" s="93">
        <f t="shared" ref="CJ36:CJ54" si="145">$B$71*$B$69*Fsw+$B$73*$B$69*Fsw</f>
        <v>0.09</v>
      </c>
      <c r="CK36" s="92">
        <f t="shared" ref="CK36:CK54" si="146">SUM(CF36:CJ36)</f>
        <v>0.47965433228098897</v>
      </c>
      <c r="CL36" s="188">
        <f t="shared" ref="CL36:CL54" si="147">IF(AND(Vout1&lt;&gt;0,Iout1&lt;&gt;0,Ns1_FlyB&lt;&gt;0),Iout1*Vdiode1,0)</f>
        <v>0.15</v>
      </c>
      <c r="CM36" s="206">
        <f t="shared" ref="CM36:CM54" si="148">IF(AND(Vout2&lt;&gt;0,Iout2&lt;&gt;0,Ns2_FlyB&lt;&gt;0),Iout2*Vdiode2,0)</f>
        <v>0.15</v>
      </c>
      <c r="CN36" s="206">
        <f t="shared" ref="CN36:CN54" si="149">IF(AND(Vout3&lt;&gt;0,Iout3&lt;&gt;0,Ns3_FlyB&lt;&gt;0),Iout3*Vdiode3,0)</f>
        <v>0</v>
      </c>
      <c r="CO36" s="206">
        <f t="shared" ref="CO36:CO54" si="150">IF(AND(Vout4&lt;&gt;0,Iout4&lt;&gt;0,Ns4_FlyB&lt;&gt;0),Iout4*Vdiode4,0)</f>
        <v>0</v>
      </c>
      <c r="CP36" s="206">
        <f t="shared" ref="CP36:CP54" si="151">IF(AND(Vout5&lt;&gt;0,Iout5&lt;&gt;0,Ns5_FlyB&lt;&gt;0),Iout5*Vdiode5,0)</f>
        <v>0</v>
      </c>
      <c r="CQ36" s="227">
        <f t="shared" ref="CQ36:CQ54" si="152">IF(AND(Vout6&lt;&gt;0,Iout6&lt;&gt;0,Ns6_FlyB&lt;&gt;0),Iout6*Vdiode6,0)</f>
        <v>0</v>
      </c>
      <c r="CR36" s="231">
        <f t="shared" si="86"/>
        <v>0.3</v>
      </c>
      <c r="CS36" s="206">
        <f t="shared" ref="CS36:CS54" si="153">CR36+CK36+CE36</f>
        <v>0.79152767685456105</v>
      </c>
      <c r="CT36" s="206">
        <f t="shared" ref="CT36:CT54" si="154">CS36+Pout_FB</f>
        <v>5.7915276768545612</v>
      </c>
      <c r="CU36" s="206">
        <f t="shared" ref="CU36:CU54" si="155">Pout_FB/CT36</f>
        <v>0.86333007092103753</v>
      </c>
      <c r="CV36">
        <f t="shared" ref="CV36:CV54" si="156">L36</f>
        <v>33.96</v>
      </c>
    </row>
    <row r="37" spans="1:100" x14ac:dyDescent="0.25">
      <c r="A37" s="12" t="s">
        <v>126</v>
      </c>
      <c r="B37" s="8">
        <f>VLOOKUP(ILrms_Total_Max_FB,U4:AU54,22,FALSE)</f>
        <v>0</v>
      </c>
      <c r="C37" s="12" t="s">
        <v>6</v>
      </c>
      <c r="K37">
        <v>33</v>
      </c>
      <c r="L37" s="91">
        <f t="shared" si="87"/>
        <v>34.74</v>
      </c>
      <c r="M37" s="93">
        <f t="shared" si="88"/>
        <v>0.15991812192157615</v>
      </c>
      <c r="N37" s="122">
        <f t="shared" si="69"/>
        <v>7.4779323049491736E-5</v>
      </c>
      <c r="O37" s="97">
        <f t="shared" si="70"/>
        <v>6.7301390744542569E-5</v>
      </c>
      <c r="P37" s="123">
        <f t="shared" si="71"/>
        <v>6.1183082495038687E-5</v>
      </c>
      <c r="Q37" s="127">
        <f t="shared" si="72"/>
        <v>0.14392630972941853</v>
      </c>
      <c r="R37" s="91">
        <f t="shared" si="73"/>
        <v>1.1111111111111112</v>
      </c>
      <c r="S37" s="92">
        <f t="shared" si="89"/>
        <v>0.33971178185340534</v>
      </c>
      <c r="T37" s="92">
        <f t="shared" si="74"/>
        <v>1.2809670020378139</v>
      </c>
      <c r="U37" s="92">
        <f t="shared" si="90"/>
        <v>1.5815341507800214</v>
      </c>
      <c r="V37" s="93">
        <f t="shared" si="91"/>
        <v>0.42316774758000036</v>
      </c>
      <c r="W37" s="92">
        <f t="shared" si="76"/>
        <v>0.39178710656810389</v>
      </c>
      <c r="X37" s="117">
        <f t="shared" si="92"/>
        <v>0.5840618695359785</v>
      </c>
      <c r="Y37" s="103">
        <f t="shared" si="93"/>
        <v>0.30234227648042483</v>
      </c>
      <c r="Z37" s="103">
        <f t="shared" si="94"/>
        <v>0.54639924679246266</v>
      </c>
      <c r="AA37" s="118">
        <f t="shared" si="95"/>
        <v>0.22034549438409337</v>
      </c>
      <c r="AB37" s="117">
        <f t="shared" si="96"/>
        <v>0.5840618695359785</v>
      </c>
      <c r="AC37" s="103">
        <f t="shared" si="97"/>
        <v>0.30234227648042483</v>
      </c>
      <c r="AD37" s="103">
        <f t="shared" si="98"/>
        <v>0.54639924679246266</v>
      </c>
      <c r="AE37" s="118">
        <f t="shared" si="99"/>
        <v>0.22034549438409337</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21">
        <f t="shared" si="116"/>
        <v>2.739611143979075E-2</v>
      </c>
      <c r="AW37" s="21">
        <f t="shared" si="77"/>
        <v>0</v>
      </c>
      <c r="AX37" s="139">
        <f t="shared" si="117"/>
        <v>0</v>
      </c>
      <c r="AY37" s="140">
        <v>33</v>
      </c>
      <c r="AZ37" s="141">
        <f t="shared" si="118"/>
        <v>0</v>
      </c>
      <c r="BA37" s="19">
        <f t="shared" si="119"/>
        <v>15.436580787724601</v>
      </c>
      <c r="BB37" s="142">
        <f t="shared" si="120"/>
        <v>5.6960983106703776E-3</v>
      </c>
      <c r="BC37" s="19">
        <f t="shared" si="78"/>
        <v>18.979871793944966</v>
      </c>
      <c r="BD37" s="79">
        <f t="shared" si="121"/>
        <v>7.0035726919656918E-3</v>
      </c>
      <c r="BE37" s="144">
        <f t="shared" si="122"/>
        <v>3.5810341391019967E-3</v>
      </c>
      <c r="BF37" s="148">
        <f t="shared" si="123"/>
        <v>2.9006376526726175E-3</v>
      </c>
      <c r="BG37" s="144">
        <f t="shared" si="124"/>
        <v>9.3302103059902303E-2</v>
      </c>
      <c r="BH37" s="152">
        <f t="shared" si="125"/>
        <v>1.8120065921561384E-2</v>
      </c>
      <c r="BI37" s="28">
        <f t="shared" si="126"/>
        <v>9.3302103059902303E-2</v>
      </c>
      <c r="BJ37" s="29">
        <f t="shared" si="127"/>
        <v>1.8120065921561384E-2</v>
      </c>
      <c r="BK37" s="28">
        <f t="shared" si="128"/>
        <v>0</v>
      </c>
      <c r="BL37" s="29">
        <f t="shared" si="129"/>
        <v>0</v>
      </c>
      <c r="BM37" s="28">
        <f t="shared" si="130"/>
        <v>0</v>
      </c>
      <c r="BN37" s="29">
        <f t="shared" si="131"/>
        <v>0</v>
      </c>
      <c r="BO37" s="28">
        <f t="shared" si="132"/>
        <v>0</v>
      </c>
      <c r="BP37" s="29">
        <f t="shared" si="133"/>
        <v>0</v>
      </c>
      <c r="BQ37" s="150">
        <f t="shared" si="134"/>
        <v>0</v>
      </c>
      <c r="BR37" s="29">
        <f t="shared" si="135"/>
        <v>0</v>
      </c>
      <c r="BS37" s="91">
        <f t="shared" si="79"/>
        <v>0.22932600975470199</v>
      </c>
      <c r="BT37" s="206">
        <f t="shared" si="80"/>
        <v>0.22932600975470199</v>
      </c>
      <c r="BU37" s="206">
        <f t="shared" si="81"/>
        <v>0.22932600975470199</v>
      </c>
      <c r="BV37" s="97">
        <f t="shared" si="82"/>
        <v>0.23502210806537238</v>
      </c>
      <c r="BW37" s="123">
        <f t="shared" si="83"/>
        <v>0.23632958244666769</v>
      </c>
      <c r="BX37" s="91">
        <f>(M37^2)*'Fly-Buck_Calc'!$B$80</f>
        <v>1.7901664003246865E-3</v>
      </c>
      <c r="BY37" s="92">
        <f t="shared" si="136"/>
        <v>5.0000000000000001E-3</v>
      </c>
      <c r="BZ37" s="92">
        <f t="shared" si="137"/>
        <v>5.0000000000000001E-3</v>
      </c>
      <c r="CA37" s="92">
        <f t="shared" si="138"/>
        <v>0</v>
      </c>
      <c r="CB37" s="92">
        <f t="shared" si="139"/>
        <v>0</v>
      </c>
      <c r="CC37" s="92">
        <f t="shared" si="140"/>
        <v>0</v>
      </c>
      <c r="CD37" s="92">
        <f t="shared" si="141"/>
        <v>0</v>
      </c>
      <c r="CE37" s="127">
        <f t="shared" si="84"/>
        <v>1.1790166400324688E-2</v>
      </c>
      <c r="CF37" s="91">
        <f t="shared" si="85"/>
        <v>7.4164036584879857E-3</v>
      </c>
      <c r="CG37" s="92">
        <f t="shared" si="142"/>
        <v>0.17370000000000002</v>
      </c>
      <c r="CH37" s="206">
        <f t="shared" si="143"/>
        <v>8.333333333333335E-3</v>
      </c>
      <c r="CI37" s="92">
        <f t="shared" si="144"/>
        <v>0.20844000000000001</v>
      </c>
      <c r="CJ37" s="93">
        <f t="shared" si="145"/>
        <v>0.09</v>
      </c>
      <c r="CK37" s="92">
        <f t="shared" si="146"/>
        <v>0.48788973699182137</v>
      </c>
      <c r="CL37" s="188">
        <f t="shared" si="147"/>
        <v>0.15</v>
      </c>
      <c r="CM37" s="206">
        <f t="shared" si="148"/>
        <v>0.15</v>
      </c>
      <c r="CN37" s="206">
        <f t="shared" si="149"/>
        <v>0</v>
      </c>
      <c r="CO37" s="206">
        <f t="shared" si="150"/>
        <v>0</v>
      </c>
      <c r="CP37" s="206">
        <f t="shared" si="151"/>
        <v>0</v>
      </c>
      <c r="CQ37" s="227">
        <f t="shared" si="152"/>
        <v>0</v>
      </c>
      <c r="CR37" s="231">
        <f t="shared" si="86"/>
        <v>0.3</v>
      </c>
      <c r="CS37" s="206">
        <f t="shared" si="153"/>
        <v>0.79967990339214612</v>
      </c>
      <c r="CT37" s="206">
        <f t="shared" si="154"/>
        <v>5.7996799033921462</v>
      </c>
      <c r="CU37" s="206">
        <f t="shared" si="155"/>
        <v>0.86211654492786316</v>
      </c>
      <c r="CV37">
        <f t="shared" si="156"/>
        <v>34.74</v>
      </c>
    </row>
    <row r="38" spans="1:100" x14ac:dyDescent="0.25">
      <c r="A38" s="12" t="s">
        <v>125</v>
      </c>
      <c r="B38" s="8">
        <f>VLOOKUP(ILrms_Total_Max_FB,U4:AU54,26,FALSE)</f>
        <v>0</v>
      </c>
      <c r="C38" s="12" t="s">
        <v>6</v>
      </c>
      <c r="K38">
        <v>34</v>
      </c>
      <c r="L38" s="91">
        <f t="shared" si="87"/>
        <v>35.519999999999996</v>
      </c>
      <c r="M38" s="93">
        <f t="shared" si="88"/>
        <v>0.15640640640640643</v>
      </c>
      <c r="N38" s="122">
        <f t="shared" si="69"/>
        <v>7.5055401313262954E-5</v>
      </c>
      <c r="O38" s="97">
        <f t="shared" si="70"/>
        <v>6.7549861181936648E-5</v>
      </c>
      <c r="P38" s="123">
        <f t="shared" si="71"/>
        <v>6.1408964710851492E-5</v>
      </c>
      <c r="Q38" s="127">
        <f t="shared" si="72"/>
        <v>0.14076576576576577</v>
      </c>
      <c r="R38" s="91">
        <f t="shared" si="73"/>
        <v>1.1111111111111112</v>
      </c>
      <c r="S38" s="92">
        <f t="shared" si="89"/>
        <v>0.34096596596596596</v>
      </c>
      <c r="T38" s="92">
        <f t="shared" si="74"/>
        <v>1.2815940940940942</v>
      </c>
      <c r="U38" s="92">
        <f t="shared" si="90"/>
        <v>1.574929169527469</v>
      </c>
      <c r="V38" s="93">
        <f t="shared" si="91"/>
        <v>0.41850765314722332</v>
      </c>
      <c r="W38" s="92">
        <f t="shared" si="76"/>
        <v>0.38818254955346798</v>
      </c>
      <c r="X38" s="117">
        <f t="shared" si="92"/>
        <v>0.58191349934469194</v>
      </c>
      <c r="Y38" s="103">
        <f t="shared" si="93"/>
        <v>0.30345849587572621</v>
      </c>
      <c r="Z38" s="103">
        <f t="shared" si="94"/>
        <v>0.54548184734917249</v>
      </c>
      <c r="AA38" s="118">
        <f t="shared" si="95"/>
        <v>0.21806064703991393</v>
      </c>
      <c r="AB38" s="117">
        <f t="shared" si="96"/>
        <v>0.58191349934469194</v>
      </c>
      <c r="AC38" s="103">
        <f t="shared" si="97"/>
        <v>0.30345849587572621</v>
      </c>
      <c r="AD38" s="103">
        <f t="shared" si="98"/>
        <v>0.54548184734917249</v>
      </c>
      <c r="AE38" s="118">
        <f t="shared" si="99"/>
        <v>0.21806064703991393</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21">
        <f t="shared" si="116"/>
        <v>2.7497255319835965E-2</v>
      </c>
      <c r="AW38" s="21">
        <f t="shared" si="77"/>
        <v>0</v>
      </c>
      <c r="AX38" s="139">
        <f t="shared" si="117"/>
        <v>0</v>
      </c>
      <c r="AY38" s="140">
        <v>34</v>
      </c>
      <c r="AZ38" s="141">
        <f t="shared" si="118"/>
        <v>0</v>
      </c>
      <c r="BA38" s="19">
        <f t="shared" si="119"/>
        <v>15.5886401889037</v>
      </c>
      <c r="BB38" s="142">
        <f t="shared" si="120"/>
        <v>5.7522082297054647E-3</v>
      </c>
      <c r="BC38" s="19">
        <f t="shared" si="78"/>
        <v>19.15271352882883</v>
      </c>
      <c r="BD38" s="79">
        <f t="shared" si="121"/>
        <v>7.0673512921378377E-3</v>
      </c>
      <c r="BE38" s="144">
        <f t="shared" si="122"/>
        <v>3.4254858297191526E-3</v>
      </c>
      <c r="BF38" s="148">
        <f t="shared" si="123"/>
        <v>2.7746435220725131E-3</v>
      </c>
      <c r="BG38" s="144">
        <f t="shared" si="124"/>
        <v>9.3302103059902303E-2</v>
      </c>
      <c r="BH38" s="152">
        <f t="shared" si="125"/>
        <v>1.774622637362577E-2</v>
      </c>
      <c r="BI38" s="28">
        <f t="shared" si="126"/>
        <v>9.3302103059902303E-2</v>
      </c>
      <c r="BJ38" s="29">
        <f t="shared" si="127"/>
        <v>1.774622637362577E-2</v>
      </c>
      <c r="BK38" s="28">
        <f t="shared" si="128"/>
        <v>0</v>
      </c>
      <c r="BL38" s="29">
        <f t="shared" si="129"/>
        <v>0</v>
      </c>
      <c r="BM38" s="28">
        <f t="shared" si="130"/>
        <v>0</v>
      </c>
      <c r="BN38" s="29">
        <f t="shared" si="131"/>
        <v>0</v>
      </c>
      <c r="BO38" s="28">
        <f t="shared" si="132"/>
        <v>0</v>
      </c>
      <c r="BP38" s="29">
        <f t="shared" si="133"/>
        <v>0</v>
      </c>
      <c r="BQ38" s="150">
        <f t="shared" si="134"/>
        <v>0</v>
      </c>
      <c r="BR38" s="29">
        <f t="shared" si="135"/>
        <v>0</v>
      </c>
      <c r="BS38" s="91">
        <f t="shared" si="79"/>
        <v>0.2282967882188478</v>
      </c>
      <c r="BT38" s="206">
        <f t="shared" si="80"/>
        <v>0.2282967882188478</v>
      </c>
      <c r="BU38" s="206">
        <f t="shared" si="81"/>
        <v>0.2282967882188478</v>
      </c>
      <c r="BV38" s="97">
        <f t="shared" si="82"/>
        <v>0.23404899644855326</v>
      </c>
      <c r="BW38" s="123">
        <f t="shared" si="83"/>
        <v>0.23536413951098564</v>
      </c>
      <c r="BX38" s="91">
        <f>(M38^2)*'Fly-Buck_Calc'!$B$80</f>
        <v>1.7124074775476184E-3</v>
      </c>
      <c r="BY38" s="92">
        <f t="shared" si="136"/>
        <v>5.0000000000000001E-3</v>
      </c>
      <c r="BZ38" s="92">
        <f t="shared" si="137"/>
        <v>5.0000000000000001E-3</v>
      </c>
      <c r="CA38" s="92">
        <f t="shared" si="138"/>
        <v>0</v>
      </c>
      <c r="CB38" s="92">
        <f t="shared" si="139"/>
        <v>0</v>
      </c>
      <c r="CC38" s="92">
        <f t="shared" si="140"/>
        <v>0</v>
      </c>
      <c r="CD38" s="92">
        <f t="shared" si="141"/>
        <v>0</v>
      </c>
      <c r="CE38" s="127">
        <f t="shared" si="84"/>
        <v>1.1712407477547619E-2</v>
      </c>
      <c r="CF38" s="91">
        <f t="shared" si="85"/>
        <v>7.094259549840133E-3</v>
      </c>
      <c r="CG38" s="92">
        <f t="shared" si="142"/>
        <v>0.17760000000000001</v>
      </c>
      <c r="CH38" s="206">
        <f t="shared" si="143"/>
        <v>8.333333333333335E-3</v>
      </c>
      <c r="CI38" s="92">
        <f t="shared" si="144"/>
        <v>0.21311999999999998</v>
      </c>
      <c r="CJ38" s="93">
        <f t="shared" si="145"/>
        <v>0.09</v>
      </c>
      <c r="CK38" s="92">
        <f t="shared" si="146"/>
        <v>0.49614759288317345</v>
      </c>
      <c r="CL38" s="188">
        <f t="shared" si="147"/>
        <v>0.15</v>
      </c>
      <c r="CM38" s="206">
        <f t="shared" si="148"/>
        <v>0.15</v>
      </c>
      <c r="CN38" s="206">
        <f t="shared" si="149"/>
        <v>0</v>
      </c>
      <c r="CO38" s="206">
        <f t="shared" si="150"/>
        <v>0</v>
      </c>
      <c r="CP38" s="206">
        <f t="shared" si="151"/>
        <v>0</v>
      </c>
      <c r="CQ38" s="227">
        <f t="shared" si="152"/>
        <v>0</v>
      </c>
      <c r="CR38" s="231">
        <f t="shared" si="86"/>
        <v>0.3</v>
      </c>
      <c r="CS38" s="206">
        <f t="shared" si="153"/>
        <v>0.80786000036072103</v>
      </c>
      <c r="CT38" s="206">
        <f t="shared" si="154"/>
        <v>5.807860000360721</v>
      </c>
      <c r="CU38" s="206">
        <f t="shared" si="155"/>
        <v>0.86090229442332533</v>
      </c>
      <c r="CV38">
        <f t="shared" si="156"/>
        <v>35.519999999999996</v>
      </c>
    </row>
    <row r="39" spans="1:100" x14ac:dyDescent="0.25">
      <c r="A39" s="310" t="s">
        <v>289</v>
      </c>
      <c r="B39" s="310"/>
      <c r="C39" s="310"/>
      <c r="K39">
        <v>35</v>
      </c>
      <c r="L39" s="91">
        <f t="shared" si="87"/>
        <v>36.299999999999997</v>
      </c>
      <c r="M39" s="93">
        <f t="shared" si="88"/>
        <v>0.15304560759106212</v>
      </c>
      <c r="N39" s="122">
        <f t="shared" si="69"/>
        <v>7.5319615056607616E-5</v>
      </c>
      <c r="O39" s="97">
        <f t="shared" si="70"/>
        <v>6.7787653550946847E-5</v>
      </c>
      <c r="P39" s="123">
        <f t="shared" si="71"/>
        <v>6.1625139591769859E-5</v>
      </c>
      <c r="Q39" s="127">
        <f t="shared" si="72"/>
        <v>0.13774104683195593</v>
      </c>
      <c r="R39" s="91">
        <f t="shared" si="73"/>
        <v>1.1111111111111109</v>
      </c>
      <c r="S39" s="92">
        <f t="shared" si="89"/>
        <v>0.34216625125716033</v>
      </c>
      <c r="T39" s="92">
        <f t="shared" si="74"/>
        <v>1.282194236739691</v>
      </c>
      <c r="U39" s="92">
        <f t="shared" si="90"/>
        <v>1.5685707120865329</v>
      </c>
      <c r="V39" s="93">
        <f t="shared" si="91"/>
        <v>0.41399823994840129</v>
      </c>
      <c r="W39" s="92">
        <f t="shared" si="76"/>
        <v>0.38467074840369225</v>
      </c>
      <c r="X39" s="117">
        <f t="shared" si="92"/>
        <v>0.57987220447284349</v>
      </c>
      <c r="Y39" s="103">
        <f t="shared" si="93"/>
        <v>0.30452674551189063</v>
      </c>
      <c r="Z39" s="103">
        <f t="shared" si="94"/>
        <v>0.54460965666893002</v>
      </c>
      <c r="AA39" s="118">
        <f t="shared" si="95"/>
        <v>0.2158695859472794</v>
      </c>
      <c r="AB39" s="117">
        <f t="shared" si="96"/>
        <v>0.57987220447284349</v>
      </c>
      <c r="AC39" s="103">
        <f t="shared" si="97"/>
        <v>0.30452674551189063</v>
      </c>
      <c r="AD39" s="103">
        <f t="shared" si="98"/>
        <v>0.54460965666893002</v>
      </c>
      <c r="AE39" s="118">
        <f t="shared" si="99"/>
        <v>0.2158695859472794</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21">
        <f t="shared" si="116"/>
        <v>2.7594052520738734E-2</v>
      </c>
      <c r="AW39" s="21">
        <f t="shared" si="77"/>
        <v>0</v>
      </c>
      <c r="AX39" s="139">
        <f t="shared" si="117"/>
        <v>0</v>
      </c>
      <c r="AY39" s="140">
        <v>35</v>
      </c>
      <c r="AZ39" s="141">
        <f t="shared" si="118"/>
        <v>0</v>
      </c>
      <c r="BA39" s="19">
        <f t="shared" si="119"/>
        <v>15.735036918973613</v>
      </c>
      <c r="BB39" s="142">
        <f t="shared" si="120"/>
        <v>5.8062286231012634E-3</v>
      </c>
      <c r="BC39" s="19">
        <f t="shared" si="78"/>
        <v>19.318998915228782</v>
      </c>
      <c r="BD39" s="79">
        <f t="shared" si="121"/>
        <v>7.1287105997194207E-3</v>
      </c>
      <c r="BE39" s="144">
        <f t="shared" si="122"/>
        <v>3.2798564738110575E-3</v>
      </c>
      <c r="BF39" s="148">
        <f t="shared" si="123"/>
        <v>2.6566837437869573E-3</v>
      </c>
      <c r="BG39" s="144">
        <f t="shared" si="124"/>
        <v>9.3302103059902303E-2</v>
      </c>
      <c r="BH39" s="152">
        <f t="shared" si="125"/>
        <v>1.7391391888405206E-2</v>
      </c>
      <c r="BI39" s="28">
        <f t="shared" si="126"/>
        <v>9.3302103059902303E-2</v>
      </c>
      <c r="BJ39" s="29">
        <f t="shared" si="127"/>
        <v>1.7391391888405206E-2</v>
      </c>
      <c r="BK39" s="28">
        <f t="shared" si="128"/>
        <v>0</v>
      </c>
      <c r="BL39" s="29">
        <f t="shared" si="129"/>
        <v>0</v>
      </c>
      <c r="BM39" s="28">
        <f t="shared" si="130"/>
        <v>0</v>
      </c>
      <c r="BN39" s="29">
        <f t="shared" si="131"/>
        <v>0</v>
      </c>
      <c r="BO39" s="28">
        <f t="shared" si="132"/>
        <v>0</v>
      </c>
      <c r="BP39" s="29">
        <f t="shared" si="133"/>
        <v>0</v>
      </c>
      <c r="BQ39" s="150">
        <f t="shared" si="134"/>
        <v>0</v>
      </c>
      <c r="BR39" s="29">
        <f t="shared" si="135"/>
        <v>0</v>
      </c>
      <c r="BS39" s="91">
        <f t="shared" si="79"/>
        <v>0.22732353011421302</v>
      </c>
      <c r="BT39" s="206">
        <f t="shared" si="80"/>
        <v>0.22732353011421302</v>
      </c>
      <c r="BU39" s="206">
        <f t="shared" si="81"/>
        <v>0.22732353011421302</v>
      </c>
      <c r="BV39" s="97">
        <f t="shared" si="82"/>
        <v>0.23312975873731429</v>
      </c>
      <c r="BW39" s="123">
        <f t="shared" si="83"/>
        <v>0.23445224071393245</v>
      </c>
      <c r="BX39" s="91">
        <f>(M39^2)*'Fly-Buck_Calc'!$B$80</f>
        <v>1.6396070602042159E-3</v>
      </c>
      <c r="BY39" s="92">
        <f t="shared" si="136"/>
        <v>5.0000000000000001E-3</v>
      </c>
      <c r="BZ39" s="92">
        <f t="shared" si="137"/>
        <v>5.0000000000000001E-3</v>
      </c>
      <c r="CA39" s="92">
        <f t="shared" si="138"/>
        <v>0</v>
      </c>
      <c r="CB39" s="92">
        <f t="shared" si="139"/>
        <v>0</v>
      </c>
      <c r="CC39" s="92">
        <f t="shared" si="140"/>
        <v>0</v>
      </c>
      <c r="CD39" s="92">
        <f t="shared" si="141"/>
        <v>0</v>
      </c>
      <c r="CE39" s="127">
        <f t="shared" si="84"/>
        <v>1.1639607060204216E-2</v>
      </c>
      <c r="CF39" s="91">
        <f t="shared" si="85"/>
        <v>6.7926578208460367E-3</v>
      </c>
      <c r="CG39" s="92">
        <f t="shared" si="142"/>
        <v>0.18149999999999997</v>
      </c>
      <c r="CH39" s="206">
        <f t="shared" si="143"/>
        <v>8.3333333333333332E-3</v>
      </c>
      <c r="CI39" s="92">
        <f t="shared" si="144"/>
        <v>0.21779999999999999</v>
      </c>
      <c r="CJ39" s="93">
        <f t="shared" si="145"/>
        <v>0.09</v>
      </c>
      <c r="CK39" s="92">
        <f t="shared" si="146"/>
        <v>0.5044259911541793</v>
      </c>
      <c r="CL39" s="188">
        <f t="shared" si="147"/>
        <v>0.15</v>
      </c>
      <c r="CM39" s="206">
        <f t="shared" si="148"/>
        <v>0.15</v>
      </c>
      <c r="CN39" s="206">
        <f t="shared" si="149"/>
        <v>0</v>
      </c>
      <c r="CO39" s="206">
        <f t="shared" si="150"/>
        <v>0</v>
      </c>
      <c r="CP39" s="206">
        <f t="shared" si="151"/>
        <v>0</v>
      </c>
      <c r="CQ39" s="227">
        <f t="shared" si="152"/>
        <v>0</v>
      </c>
      <c r="CR39" s="231">
        <f t="shared" si="86"/>
        <v>0.3</v>
      </c>
      <c r="CS39" s="206">
        <f t="shared" si="153"/>
        <v>0.81606559821438351</v>
      </c>
      <c r="CT39" s="206">
        <f t="shared" si="154"/>
        <v>5.8160655982143838</v>
      </c>
      <c r="CU39" s="206">
        <f t="shared" si="155"/>
        <v>0.85968769016894719</v>
      </c>
      <c r="CV39">
        <f t="shared" si="156"/>
        <v>36.299999999999997</v>
      </c>
    </row>
    <row r="40" spans="1:100" x14ac:dyDescent="0.25">
      <c r="A40" s="12" t="s">
        <v>428</v>
      </c>
      <c r="B40" s="190">
        <f>(ILavg_FlyB-IoutPri_FB)*(B10/(VoutPri_Ripple_FB*(10^-3)))</f>
        <v>3.9259259259259262E-5</v>
      </c>
      <c r="C40" s="12"/>
      <c r="K40">
        <v>36</v>
      </c>
      <c r="L40" s="91">
        <f t="shared" si="87"/>
        <v>37.08</v>
      </c>
      <c r="M40" s="93">
        <f t="shared" si="88"/>
        <v>0.14982620160613688</v>
      </c>
      <c r="N40" s="122">
        <f t="shared" si="69"/>
        <v>7.5572713011397334E-5</v>
      </c>
      <c r="O40" s="97">
        <f t="shared" si="70"/>
        <v>6.8015441710257609E-5</v>
      </c>
      <c r="P40" s="123">
        <f t="shared" si="71"/>
        <v>6.1832219736597814E-5</v>
      </c>
      <c r="Q40" s="127">
        <f t="shared" si="72"/>
        <v>0.13484358144552319</v>
      </c>
      <c r="R40" s="91">
        <f t="shared" si="73"/>
        <v>1.1111111111111112</v>
      </c>
      <c r="S40" s="92">
        <f t="shared" si="89"/>
        <v>0.34331603910891934</v>
      </c>
      <c r="T40" s="92">
        <f t="shared" si="74"/>
        <v>1.2827691306655709</v>
      </c>
      <c r="U40" s="92">
        <f t="shared" si="90"/>
        <v>1.5624439404746431</v>
      </c>
      <c r="V40" s="93">
        <f t="shared" si="91"/>
        <v>0.40963155686273683</v>
      </c>
      <c r="W40" s="92">
        <f t="shared" si="76"/>
        <v>0.38124811040851969</v>
      </c>
      <c r="X40" s="117">
        <f t="shared" si="92"/>
        <v>0.57793017456359108</v>
      </c>
      <c r="Y40" s="103">
        <f t="shared" si="93"/>
        <v>0.3055500526067278</v>
      </c>
      <c r="Z40" s="103">
        <f t="shared" si="94"/>
        <v>0.54377942623203124</v>
      </c>
      <c r="AA40" s="118">
        <f t="shared" si="95"/>
        <v>0.21376637807016588</v>
      </c>
      <c r="AB40" s="117">
        <f t="shared" si="96"/>
        <v>0.57793017456359108</v>
      </c>
      <c r="AC40" s="103">
        <f t="shared" si="97"/>
        <v>0.3055500526067278</v>
      </c>
      <c r="AD40" s="103">
        <f t="shared" si="98"/>
        <v>0.54377942623203124</v>
      </c>
      <c r="AE40" s="118">
        <f t="shared" si="99"/>
        <v>0.21376637807016588</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21">
        <f t="shared" si="116"/>
        <v>2.7686777347493495E-2</v>
      </c>
      <c r="AW40" s="21">
        <f t="shared" si="77"/>
        <v>0</v>
      </c>
      <c r="AX40" s="139">
        <f t="shared" si="117"/>
        <v>0</v>
      </c>
      <c r="AY40" s="140">
        <v>36</v>
      </c>
      <c r="AZ40" s="141">
        <f t="shared" si="118"/>
        <v>0</v>
      </c>
      <c r="BA40" s="19">
        <f t="shared" si="119"/>
        <v>15.876076311616654</v>
      </c>
      <c r="BB40" s="142">
        <f t="shared" si="120"/>
        <v>5.8582721589865456E-3</v>
      </c>
      <c r="BC40" s="19">
        <f t="shared" si="78"/>
        <v>19.479089153402441</v>
      </c>
      <c r="BD40" s="79">
        <f t="shared" si="121"/>
        <v>7.1877838976055009E-3</v>
      </c>
      <c r="BE40" s="144">
        <f t="shared" si="122"/>
        <v>3.1433203093460811E-3</v>
      </c>
      <c r="BF40" s="148">
        <f t="shared" si="123"/>
        <v>2.5460894505703255E-3</v>
      </c>
      <c r="BG40" s="144">
        <f t="shared" si="124"/>
        <v>9.3302103059902303E-2</v>
      </c>
      <c r="BH40" s="152">
        <f t="shared" si="125"/>
        <v>1.7054155637798957E-2</v>
      </c>
      <c r="BI40" s="28">
        <f t="shared" si="126"/>
        <v>9.3302103059902303E-2</v>
      </c>
      <c r="BJ40" s="29">
        <f t="shared" si="127"/>
        <v>1.7054155637798957E-2</v>
      </c>
      <c r="BK40" s="28">
        <f t="shared" si="128"/>
        <v>0</v>
      </c>
      <c r="BL40" s="29">
        <f t="shared" si="129"/>
        <v>0</v>
      </c>
      <c r="BM40" s="28">
        <f t="shared" si="130"/>
        <v>0</v>
      </c>
      <c r="BN40" s="29">
        <f t="shared" si="131"/>
        <v>0</v>
      </c>
      <c r="BO40" s="28">
        <f t="shared" si="132"/>
        <v>0</v>
      </c>
      <c r="BP40" s="29">
        <f t="shared" si="133"/>
        <v>0</v>
      </c>
      <c r="BQ40" s="150">
        <f t="shared" si="134"/>
        <v>0</v>
      </c>
      <c r="BR40" s="29">
        <f t="shared" si="135"/>
        <v>0</v>
      </c>
      <c r="BS40" s="91">
        <f t="shared" si="79"/>
        <v>0.22640192715531895</v>
      </c>
      <c r="BT40" s="206">
        <f t="shared" si="80"/>
        <v>0.22640192715531895</v>
      </c>
      <c r="BU40" s="206">
        <f t="shared" si="81"/>
        <v>0.22640192715531895</v>
      </c>
      <c r="BV40" s="97">
        <f t="shared" si="82"/>
        <v>0.2322601993143055</v>
      </c>
      <c r="BW40" s="123">
        <f t="shared" si="83"/>
        <v>0.23358971105292445</v>
      </c>
      <c r="BX40" s="91">
        <f>(M40^2)*'Fly-Buck_Calc'!$B$80</f>
        <v>1.5713523481405943E-3</v>
      </c>
      <c r="BY40" s="92">
        <f t="shared" si="136"/>
        <v>5.0000000000000001E-3</v>
      </c>
      <c r="BZ40" s="92">
        <f t="shared" si="137"/>
        <v>5.0000000000000001E-3</v>
      </c>
      <c r="CA40" s="92">
        <f t="shared" si="138"/>
        <v>0</v>
      </c>
      <c r="CB40" s="92">
        <f t="shared" si="139"/>
        <v>0</v>
      </c>
      <c r="CC40" s="92">
        <f t="shared" si="140"/>
        <v>0</v>
      </c>
      <c r="CD40" s="92">
        <f t="shared" si="141"/>
        <v>0</v>
      </c>
      <c r="CE40" s="127">
        <f t="shared" si="84"/>
        <v>1.1571352348140595E-2</v>
      </c>
      <c r="CF40" s="91">
        <f t="shared" si="85"/>
        <v>6.5098882994396035E-3</v>
      </c>
      <c r="CG40" s="92">
        <f t="shared" si="142"/>
        <v>0.18540000000000004</v>
      </c>
      <c r="CH40" s="206">
        <f t="shared" si="143"/>
        <v>8.333333333333335E-3</v>
      </c>
      <c r="CI40" s="92">
        <f t="shared" si="144"/>
        <v>0.22247999999999998</v>
      </c>
      <c r="CJ40" s="93">
        <f t="shared" si="145"/>
        <v>0.09</v>
      </c>
      <c r="CK40" s="92">
        <f t="shared" si="146"/>
        <v>0.51272322163277295</v>
      </c>
      <c r="CL40" s="188">
        <f t="shared" si="147"/>
        <v>0.15</v>
      </c>
      <c r="CM40" s="206">
        <f t="shared" si="148"/>
        <v>0.15</v>
      </c>
      <c r="CN40" s="206">
        <f t="shared" si="149"/>
        <v>0</v>
      </c>
      <c r="CO40" s="206">
        <f t="shared" si="150"/>
        <v>0</v>
      </c>
      <c r="CP40" s="206">
        <f t="shared" si="151"/>
        <v>0</v>
      </c>
      <c r="CQ40" s="227">
        <f t="shared" si="152"/>
        <v>0</v>
      </c>
      <c r="CR40" s="231">
        <f t="shared" si="86"/>
        <v>0.3</v>
      </c>
      <c r="CS40" s="206">
        <f t="shared" si="153"/>
        <v>0.82429457398091344</v>
      </c>
      <c r="CT40" s="206">
        <f t="shared" si="154"/>
        <v>5.8242945739809135</v>
      </c>
      <c r="CU40" s="206">
        <f t="shared" si="155"/>
        <v>0.85847306252961253</v>
      </c>
      <c r="CV40">
        <f t="shared" si="156"/>
        <v>37.08</v>
      </c>
    </row>
    <row r="41" spans="1:100" x14ac:dyDescent="0.25">
      <c r="A41" s="12" t="s">
        <v>429</v>
      </c>
      <c r="B41" s="12">
        <f>COUTPri_FB</f>
        <v>9.9999999999999991E-5</v>
      </c>
      <c r="C41" s="12" t="s">
        <v>351</v>
      </c>
      <c r="K41">
        <v>37</v>
      </c>
      <c r="L41" s="91">
        <f t="shared" si="87"/>
        <v>37.86</v>
      </c>
      <c r="M41" s="93">
        <f t="shared" si="88"/>
        <v>0.14673944943358574</v>
      </c>
      <c r="N41" s="122">
        <f t="shared" si="69"/>
        <v>7.5815382207352619E-5</v>
      </c>
      <c r="O41" s="97">
        <f t="shared" si="70"/>
        <v>6.8233843986617365E-5</v>
      </c>
      <c r="P41" s="123">
        <f t="shared" si="71"/>
        <v>6.2030767260561225E-5</v>
      </c>
      <c r="Q41" s="127">
        <f t="shared" si="72"/>
        <v>0.13206550449022716</v>
      </c>
      <c r="R41" s="91">
        <f t="shared" si="73"/>
        <v>1.1111111111111112</v>
      </c>
      <c r="S41" s="92">
        <f t="shared" si="89"/>
        <v>0.34441845059911624</v>
      </c>
      <c r="T41" s="92">
        <f t="shared" si="74"/>
        <v>1.2833203364106693</v>
      </c>
      <c r="U41" s="92">
        <f t="shared" si="90"/>
        <v>1.5565352346553509</v>
      </c>
      <c r="V41" s="93">
        <f t="shared" si="91"/>
        <v>0.40540022816758031</v>
      </c>
      <c r="W41" s="92">
        <f t="shared" si="76"/>
        <v>0.37791120515043519</v>
      </c>
      <c r="X41" s="117">
        <f t="shared" si="92"/>
        <v>0.57608034083992699</v>
      </c>
      <c r="Y41" s="103">
        <f t="shared" si="93"/>
        <v>0.30653119490843383</v>
      </c>
      <c r="Z41" s="103">
        <f t="shared" si="94"/>
        <v>0.54298821060743896</v>
      </c>
      <c r="AA41" s="118">
        <f t="shared" si="95"/>
        <v>0.21174559466177439</v>
      </c>
      <c r="AB41" s="117">
        <f t="shared" si="96"/>
        <v>0.57608034083992699</v>
      </c>
      <c r="AC41" s="103">
        <f t="shared" si="97"/>
        <v>0.30653119490843383</v>
      </c>
      <c r="AD41" s="103">
        <f t="shared" si="98"/>
        <v>0.54298821060743896</v>
      </c>
      <c r="AE41" s="118">
        <f t="shared" si="99"/>
        <v>0.21174559466177439</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21">
        <f t="shared" si="116"/>
        <v>2.7775681499928727E-2</v>
      </c>
      <c r="AW41" s="21">
        <f t="shared" si="77"/>
        <v>0</v>
      </c>
      <c r="AX41" s="139">
        <f t="shared" si="117"/>
        <v>0</v>
      </c>
      <c r="AY41" s="140">
        <v>37</v>
      </c>
      <c r="AZ41" s="141">
        <f t="shared" si="118"/>
        <v>0</v>
      </c>
      <c r="BA41" s="19">
        <f t="shared" si="119"/>
        <v>16.012042587968907</v>
      </c>
      <c r="BB41" s="142">
        <f t="shared" si="120"/>
        <v>5.9084437149605267E-3</v>
      </c>
      <c r="BC41" s="19">
        <f t="shared" si="78"/>
        <v>19.63331981441366</v>
      </c>
      <c r="BD41" s="79">
        <f t="shared" si="121"/>
        <v>7.24469501151864E-3</v>
      </c>
      <c r="BE41" s="144">
        <f t="shared" si="122"/>
        <v>3.0151357511827956E-3</v>
      </c>
      <c r="BF41" s="148">
        <f t="shared" si="123"/>
        <v>2.4422599584580642E-3</v>
      </c>
      <c r="BG41" s="144">
        <f t="shared" si="124"/>
        <v>9.3302103059902303E-2</v>
      </c>
      <c r="BH41" s="152">
        <f t="shared" si="125"/>
        <v>1.6733245840486209E-2</v>
      </c>
      <c r="BI41" s="28">
        <f t="shared" si="126"/>
        <v>9.3302103059902303E-2</v>
      </c>
      <c r="BJ41" s="29">
        <f t="shared" si="127"/>
        <v>1.6733245840486209E-2</v>
      </c>
      <c r="BK41" s="28">
        <f t="shared" si="128"/>
        <v>0</v>
      </c>
      <c r="BL41" s="29">
        <f t="shared" si="129"/>
        <v>0</v>
      </c>
      <c r="BM41" s="28">
        <f t="shared" si="130"/>
        <v>0</v>
      </c>
      <c r="BN41" s="29">
        <f t="shared" si="131"/>
        <v>0</v>
      </c>
      <c r="BO41" s="28">
        <f t="shared" si="132"/>
        <v>0</v>
      </c>
      <c r="BP41" s="29">
        <f t="shared" si="133"/>
        <v>0</v>
      </c>
      <c r="BQ41" s="150">
        <f t="shared" si="134"/>
        <v>0</v>
      </c>
      <c r="BR41" s="29">
        <f t="shared" si="135"/>
        <v>0</v>
      </c>
      <c r="BS41" s="91">
        <f t="shared" si="79"/>
        <v>0.22552809351041789</v>
      </c>
      <c r="BT41" s="206">
        <f t="shared" si="80"/>
        <v>0.22552809351041789</v>
      </c>
      <c r="BU41" s="206">
        <f t="shared" si="81"/>
        <v>0.22552809351041789</v>
      </c>
      <c r="BV41" s="97">
        <f t="shared" si="82"/>
        <v>0.23143653722537841</v>
      </c>
      <c r="BW41" s="123">
        <f t="shared" si="83"/>
        <v>0.23277278852193653</v>
      </c>
      <c r="BX41" s="91">
        <f>(M41^2)*'Fly-Buck_Calc'!$B$80</f>
        <v>1.507272621405031E-3</v>
      </c>
      <c r="BY41" s="92">
        <f t="shared" si="136"/>
        <v>5.0000000000000001E-3</v>
      </c>
      <c r="BZ41" s="92">
        <f t="shared" si="137"/>
        <v>5.0000000000000001E-3</v>
      </c>
      <c r="CA41" s="92">
        <f t="shared" si="138"/>
        <v>0</v>
      </c>
      <c r="CB41" s="92">
        <f t="shared" si="139"/>
        <v>0</v>
      </c>
      <c r="CC41" s="92">
        <f t="shared" si="140"/>
        <v>0</v>
      </c>
      <c r="CD41" s="92">
        <f t="shared" si="141"/>
        <v>0</v>
      </c>
      <c r="CE41" s="127">
        <f t="shared" si="84"/>
        <v>1.1507272621405031E-2</v>
      </c>
      <c r="CF41" s="91">
        <f t="shared" si="85"/>
        <v>6.2444151458208412E-3</v>
      </c>
      <c r="CG41" s="92">
        <f t="shared" si="142"/>
        <v>0.18930000000000005</v>
      </c>
      <c r="CH41" s="206">
        <f t="shared" si="143"/>
        <v>8.333333333333335E-3</v>
      </c>
      <c r="CI41" s="92">
        <f t="shared" si="144"/>
        <v>0.22716</v>
      </c>
      <c r="CJ41" s="93">
        <f t="shared" si="145"/>
        <v>0.09</v>
      </c>
      <c r="CK41" s="92">
        <f t="shared" si="146"/>
        <v>0.52103774847915418</v>
      </c>
      <c r="CL41" s="188">
        <f t="shared" si="147"/>
        <v>0.15</v>
      </c>
      <c r="CM41" s="206">
        <f t="shared" si="148"/>
        <v>0.15</v>
      </c>
      <c r="CN41" s="206">
        <f t="shared" si="149"/>
        <v>0</v>
      </c>
      <c r="CO41" s="206">
        <f t="shared" si="150"/>
        <v>0</v>
      </c>
      <c r="CP41" s="206">
        <f t="shared" si="151"/>
        <v>0</v>
      </c>
      <c r="CQ41" s="227">
        <f t="shared" si="152"/>
        <v>0</v>
      </c>
      <c r="CR41" s="231">
        <f t="shared" si="86"/>
        <v>0.3</v>
      </c>
      <c r="CS41" s="206">
        <f t="shared" si="153"/>
        <v>0.83254502110055928</v>
      </c>
      <c r="CT41" s="206">
        <f t="shared" si="154"/>
        <v>5.8325450211005592</v>
      </c>
      <c r="CU41" s="206">
        <f t="shared" si="155"/>
        <v>0.85725870643284574</v>
      </c>
      <c r="CV41">
        <f t="shared" si="156"/>
        <v>37.86</v>
      </c>
    </row>
    <row r="42" spans="1:100" x14ac:dyDescent="0.25">
      <c r="A42" s="12" t="s">
        <v>395</v>
      </c>
      <c r="B42" s="19">
        <f>IF(AND(Vout1&lt;&gt;0,Iout1&lt;&gt;0),(Iout1*B10)/(Vout1_Ripple*(10^-3)),0)</f>
        <v>1.8518518518518518E-5</v>
      </c>
      <c r="C42" s="12" t="s">
        <v>351</v>
      </c>
      <c r="K42">
        <v>38</v>
      </c>
      <c r="L42" s="91">
        <f t="shared" si="87"/>
        <v>38.64</v>
      </c>
      <c r="M42" s="93">
        <f t="shared" si="88"/>
        <v>0.14377731769036114</v>
      </c>
      <c r="N42" s="122">
        <f t="shared" si="69"/>
        <v>7.6048254199744493E-5</v>
      </c>
      <c r="O42" s="97">
        <f t="shared" si="70"/>
        <v>6.844342877977004E-5</v>
      </c>
      <c r="P42" s="123">
        <f t="shared" si="71"/>
        <v>6.2221298890700031E-5</v>
      </c>
      <c r="Q42" s="127">
        <f t="shared" si="72"/>
        <v>0.12939958592132506</v>
      </c>
      <c r="R42" s="91">
        <f t="shared" si="73"/>
        <v>1.1111111111111109</v>
      </c>
      <c r="S42" s="92">
        <f t="shared" si="89"/>
        <v>0.345476354793125</v>
      </c>
      <c r="T42" s="92">
        <f t="shared" si="74"/>
        <v>1.2838492885076733</v>
      </c>
      <c r="U42" s="92">
        <f t="shared" si="90"/>
        <v>1.5508320669918589</v>
      </c>
      <c r="V42" s="93">
        <f t="shared" si="91"/>
        <v>0.40129740107275336</v>
      </c>
      <c r="W42" s="92">
        <f t="shared" si="76"/>
        <v>0.37465675894812206</v>
      </c>
      <c r="X42" s="117">
        <f t="shared" si="92"/>
        <v>0.57431629013079666</v>
      </c>
      <c r="Y42" s="103">
        <f t="shared" si="93"/>
        <v>0.3074727258749777</v>
      </c>
      <c r="Z42" s="103">
        <f t="shared" si="94"/>
        <v>0.54223333298071019</v>
      </c>
      <c r="AA42" s="118">
        <f t="shared" si="95"/>
        <v>0.20980225784144876</v>
      </c>
      <c r="AB42" s="117">
        <f t="shared" si="96"/>
        <v>0.57431629013079666</v>
      </c>
      <c r="AC42" s="103">
        <f t="shared" si="97"/>
        <v>0.3074727258749777</v>
      </c>
      <c r="AD42" s="103">
        <f t="shared" si="98"/>
        <v>0.54223333298071019</v>
      </c>
      <c r="AE42" s="118">
        <f t="shared" si="99"/>
        <v>0.20980225784144876</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21">
        <f t="shared" si="116"/>
        <v>2.7860996354284271E-2</v>
      </c>
      <c r="AW42" s="21">
        <f t="shared" si="77"/>
        <v>0</v>
      </c>
      <c r="AX42" s="139">
        <f t="shared" si="117"/>
        <v>0</v>
      </c>
      <c r="AY42" s="140">
        <v>38</v>
      </c>
      <c r="AZ42" s="141">
        <f t="shared" si="118"/>
        <v>0</v>
      </c>
      <c r="BA42" s="19">
        <f t="shared" si="119"/>
        <v>16.143200601671673</v>
      </c>
      <c r="BB42" s="142">
        <f t="shared" si="120"/>
        <v>5.9568410220168467E-3</v>
      </c>
      <c r="BC42" s="19">
        <f t="shared" si="78"/>
        <v>19.782003028143652</v>
      </c>
      <c r="BD42" s="79">
        <f t="shared" si="121"/>
        <v>7.2995591173850077E-3</v>
      </c>
      <c r="BE42" s="144">
        <f t="shared" si="122"/>
        <v>2.8946353001106542E-3</v>
      </c>
      <c r="BF42" s="148">
        <f t="shared" si="123"/>
        <v>2.3446545930896311E-3</v>
      </c>
      <c r="BG42" s="144">
        <f t="shared" si="124"/>
        <v>9.3302103059902303E-2</v>
      </c>
      <c r="BH42" s="152">
        <f t="shared" si="125"/>
        <v>1.6427509977396837E-2</v>
      </c>
      <c r="BI42" s="28">
        <f t="shared" si="126"/>
        <v>9.3302103059902303E-2</v>
      </c>
      <c r="BJ42" s="29">
        <f t="shared" si="127"/>
        <v>1.6427509977396837E-2</v>
      </c>
      <c r="BK42" s="28">
        <f t="shared" si="128"/>
        <v>0</v>
      </c>
      <c r="BL42" s="29">
        <f t="shared" si="129"/>
        <v>0</v>
      </c>
      <c r="BM42" s="28">
        <f t="shared" si="130"/>
        <v>0</v>
      </c>
      <c r="BN42" s="29">
        <f t="shared" si="131"/>
        <v>0</v>
      </c>
      <c r="BO42" s="28">
        <f t="shared" si="132"/>
        <v>0</v>
      </c>
      <c r="BP42" s="29">
        <f t="shared" si="133"/>
        <v>0</v>
      </c>
      <c r="BQ42" s="150">
        <f t="shared" si="134"/>
        <v>0</v>
      </c>
      <c r="BR42" s="29">
        <f t="shared" si="135"/>
        <v>0</v>
      </c>
      <c r="BS42" s="91">
        <f t="shared" si="79"/>
        <v>0.22469851596779855</v>
      </c>
      <c r="BT42" s="206">
        <f t="shared" si="80"/>
        <v>0.22469851596779855</v>
      </c>
      <c r="BU42" s="206">
        <f t="shared" si="81"/>
        <v>0.22469851596779855</v>
      </c>
      <c r="BV42" s="97">
        <f t="shared" si="82"/>
        <v>0.2306553569898154</v>
      </c>
      <c r="BW42" s="123">
        <f t="shared" si="83"/>
        <v>0.23199807508518355</v>
      </c>
      <c r="BX42" s="91">
        <f>(M42^2)*'Fly-Buck_Calc'!$B$80</f>
        <v>1.4470341957564528E-3</v>
      </c>
      <c r="BY42" s="92">
        <f t="shared" si="136"/>
        <v>5.0000000000000001E-3</v>
      </c>
      <c r="BZ42" s="92">
        <f t="shared" si="137"/>
        <v>5.0000000000000001E-3</v>
      </c>
      <c r="CA42" s="92">
        <f t="shared" si="138"/>
        <v>0</v>
      </c>
      <c r="CB42" s="92">
        <f t="shared" si="139"/>
        <v>0</v>
      </c>
      <c r="CC42" s="92">
        <f t="shared" si="140"/>
        <v>0</v>
      </c>
      <c r="CD42" s="92">
        <f t="shared" si="141"/>
        <v>0</v>
      </c>
      <c r="CE42" s="127">
        <f t="shared" si="84"/>
        <v>1.1447034195756453E-2</v>
      </c>
      <c r="CF42" s="91">
        <f t="shared" si="85"/>
        <v>5.9948559538481605E-3</v>
      </c>
      <c r="CG42" s="92">
        <f t="shared" si="142"/>
        <v>0.19320000000000001</v>
      </c>
      <c r="CH42" s="206">
        <f t="shared" si="143"/>
        <v>8.3333333333333332E-3</v>
      </c>
      <c r="CI42" s="92">
        <f t="shared" si="144"/>
        <v>0.23184000000000002</v>
      </c>
      <c r="CJ42" s="93">
        <f t="shared" si="145"/>
        <v>0.09</v>
      </c>
      <c r="CK42" s="92">
        <f t="shared" si="146"/>
        <v>0.52936818928718155</v>
      </c>
      <c r="CL42" s="188">
        <f t="shared" si="147"/>
        <v>0.15</v>
      </c>
      <c r="CM42" s="206">
        <f t="shared" si="148"/>
        <v>0.15</v>
      </c>
      <c r="CN42" s="206">
        <f t="shared" si="149"/>
        <v>0</v>
      </c>
      <c r="CO42" s="206">
        <f t="shared" si="150"/>
        <v>0</v>
      </c>
      <c r="CP42" s="206">
        <f t="shared" si="151"/>
        <v>0</v>
      </c>
      <c r="CQ42" s="227">
        <f t="shared" si="152"/>
        <v>0</v>
      </c>
      <c r="CR42" s="231">
        <f t="shared" si="86"/>
        <v>0.3</v>
      </c>
      <c r="CS42" s="206">
        <f t="shared" si="153"/>
        <v>0.84081522348293802</v>
      </c>
      <c r="CT42" s="206">
        <f t="shared" si="154"/>
        <v>5.840815223482938</v>
      </c>
      <c r="CU42" s="206">
        <f t="shared" si="155"/>
        <v>0.85604488563472292</v>
      </c>
      <c r="CV42">
        <f t="shared" si="156"/>
        <v>38.64</v>
      </c>
    </row>
    <row r="43" spans="1:100" x14ac:dyDescent="0.25">
      <c r="A43" s="185" t="s">
        <v>396</v>
      </c>
      <c r="B43" s="12">
        <f>COUT1_FB</f>
        <v>1.9999999999999998E-5</v>
      </c>
      <c r="C43" s="12" t="s">
        <v>351</v>
      </c>
      <c r="K43">
        <v>39</v>
      </c>
      <c r="L43" s="91">
        <f t="shared" si="87"/>
        <v>39.42</v>
      </c>
      <c r="M43" s="93">
        <f t="shared" si="88"/>
        <v>0.1409324088167315</v>
      </c>
      <c r="N43" s="122">
        <f t="shared" si="69"/>
        <v>7.627191055773425E-5</v>
      </c>
      <c r="O43" s="97">
        <f t="shared" si="70"/>
        <v>6.8644719501960821E-5</v>
      </c>
      <c r="P43" s="123">
        <f t="shared" si="71"/>
        <v>6.240429045632801E-5</v>
      </c>
      <c r="Q43" s="127">
        <f t="shared" si="72"/>
        <v>0.12683916793505834</v>
      </c>
      <c r="R43" s="91">
        <f t="shared" si="73"/>
        <v>1.1111111111111112</v>
      </c>
      <c r="S43" s="92">
        <f t="shared" si="89"/>
        <v>0.34649239367656415</v>
      </c>
      <c r="T43" s="92">
        <f t="shared" si="74"/>
        <v>1.2843573079493933</v>
      </c>
      <c r="U43" s="92">
        <f t="shared" si="90"/>
        <v>1.5453228921713791</v>
      </c>
      <c r="V43" s="93">
        <f t="shared" si="91"/>
        <v>0.39731669898714295</v>
      </c>
      <c r="W43" s="92">
        <f t="shared" si="76"/>
        <v>0.37148164885920493</v>
      </c>
      <c r="X43" s="117">
        <f t="shared" si="92"/>
        <v>0.5726321905868681</v>
      </c>
      <c r="Y43" s="103">
        <f t="shared" si="93"/>
        <v>0.3083769968641546</v>
      </c>
      <c r="Z43" s="103">
        <f t="shared" si="94"/>
        <v>0.54151235527558306</v>
      </c>
      <c r="AA43" s="118">
        <f t="shared" si="95"/>
        <v>0.20793179390393685</v>
      </c>
      <c r="AB43" s="117">
        <f t="shared" si="96"/>
        <v>0.5726321905868681</v>
      </c>
      <c r="AC43" s="103">
        <f t="shared" si="97"/>
        <v>0.3083769968641546</v>
      </c>
      <c r="AD43" s="103">
        <f t="shared" si="98"/>
        <v>0.54151235527558306</v>
      </c>
      <c r="AE43" s="118">
        <f t="shared" si="99"/>
        <v>0.20793179390393685</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21">
        <f t="shared" si="116"/>
        <v>2.7942934973916461E-2</v>
      </c>
      <c r="AW43" s="21">
        <f t="shared" si="77"/>
        <v>0</v>
      </c>
      <c r="AX43" s="139">
        <f t="shared" si="117"/>
        <v>0</v>
      </c>
      <c r="AY43" s="140">
        <v>39</v>
      </c>
      <c r="AZ43" s="141">
        <f t="shared" si="118"/>
        <v>0</v>
      </c>
      <c r="BA43" s="19">
        <f t="shared" si="119"/>
        <v>16.269797419964007</v>
      </c>
      <c r="BB43" s="142">
        <f t="shared" si="120"/>
        <v>6.003555247966719E-3</v>
      </c>
      <c r="BC43" s="19">
        <f t="shared" si="78"/>
        <v>19.925429456742858</v>
      </c>
      <c r="BD43" s="79">
        <f t="shared" si="121"/>
        <v>7.3524834695381149E-3</v>
      </c>
      <c r="BE43" s="144">
        <f t="shared" si="122"/>
        <v>2.7812168354998919E-3</v>
      </c>
      <c r="BF43" s="148">
        <f t="shared" si="123"/>
        <v>2.252785636754912E-3</v>
      </c>
      <c r="BG43" s="144">
        <f t="shared" si="124"/>
        <v>9.3302103059902303E-2</v>
      </c>
      <c r="BH43" s="152">
        <f t="shared" si="125"/>
        <v>1.6135901166378901E-2</v>
      </c>
      <c r="BI43" s="28">
        <f t="shared" si="126"/>
        <v>9.3302103059902303E-2</v>
      </c>
      <c r="BJ43" s="29">
        <f t="shared" si="127"/>
        <v>1.6135901166378901E-2</v>
      </c>
      <c r="BK43" s="28">
        <f t="shared" si="128"/>
        <v>0</v>
      </c>
      <c r="BL43" s="29">
        <f t="shared" si="129"/>
        <v>0</v>
      </c>
      <c r="BM43" s="28">
        <f t="shared" si="130"/>
        <v>0</v>
      </c>
      <c r="BN43" s="29">
        <f t="shared" si="131"/>
        <v>0</v>
      </c>
      <c r="BO43" s="28">
        <f t="shared" si="132"/>
        <v>0</v>
      </c>
      <c r="BP43" s="29">
        <f t="shared" si="133"/>
        <v>0</v>
      </c>
      <c r="BQ43" s="150">
        <f t="shared" si="134"/>
        <v>0</v>
      </c>
      <c r="BR43" s="29">
        <f t="shared" si="135"/>
        <v>0</v>
      </c>
      <c r="BS43" s="91">
        <f t="shared" si="79"/>
        <v>0.22391001092481719</v>
      </c>
      <c r="BT43" s="206">
        <f t="shared" si="80"/>
        <v>0.22391001092481719</v>
      </c>
      <c r="BU43" s="206">
        <f t="shared" si="81"/>
        <v>0.22391001092481719</v>
      </c>
      <c r="BV43" s="97">
        <f t="shared" si="82"/>
        <v>0.22991356617278391</v>
      </c>
      <c r="BW43" s="123">
        <f t="shared" si="83"/>
        <v>0.23126249439435531</v>
      </c>
      <c r="BX43" s="91">
        <f>(M43^2)*'Fly-Buck_Calc'!$B$80</f>
        <v>1.3903360698420439E-3</v>
      </c>
      <c r="BY43" s="92">
        <f t="shared" si="136"/>
        <v>5.0000000000000001E-3</v>
      </c>
      <c r="BZ43" s="92">
        <f t="shared" si="137"/>
        <v>5.0000000000000001E-3</v>
      </c>
      <c r="CA43" s="92">
        <f t="shared" si="138"/>
        <v>0</v>
      </c>
      <c r="CB43" s="92">
        <f t="shared" si="139"/>
        <v>0</v>
      </c>
      <c r="CC43" s="92">
        <f t="shared" si="140"/>
        <v>0</v>
      </c>
      <c r="CD43" s="92">
        <f t="shared" si="141"/>
        <v>0</v>
      </c>
      <c r="CE43" s="127">
        <f t="shared" si="84"/>
        <v>1.1390336069842043E-2</v>
      </c>
      <c r="CF43" s="91">
        <f t="shared" si="85"/>
        <v>5.7599637179170382E-3</v>
      </c>
      <c r="CG43" s="92">
        <f t="shared" si="142"/>
        <v>0.19710000000000005</v>
      </c>
      <c r="CH43" s="206">
        <f t="shared" si="143"/>
        <v>8.333333333333335E-3</v>
      </c>
      <c r="CI43" s="92">
        <f t="shared" si="144"/>
        <v>0.23652000000000001</v>
      </c>
      <c r="CJ43" s="93">
        <f t="shared" si="145"/>
        <v>0.09</v>
      </c>
      <c r="CK43" s="92">
        <f t="shared" si="146"/>
        <v>0.53771329705125037</v>
      </c>
      <c r="CL43" s="188">
        <f t="shared" si="147"/>
        <v>0.15</v>
      </c>
      <c r="CM43" s="206">
        <f t="shared" si="148"/>
        <v>0.15</v>
      </c>
      <c r="CN43" s="206">
        <f t="shared" si="149"/>
        <v>0</v>
      </c>
      <c r="CO43" s="206">
        <f t="shared" si="150"/>
        <v>0</v>
      </c>
      <c r="CP43" s="206">
        <f t="shared" si="151"/>
        <v>0</v>
      </c>
      <c r="CQ43" s="227">
        <f t="shared" si="152"/>
        <v>0</v>
      </c>
      <c r="CR43" s="231">
        <f t="shared" si="86"/>
        <v>0.3</v>
      </c>
      <c r="CS43" s="206">
        <f t="shared" si="153"/>
        <v>0.84910363312109249</v>
      </c>
      <c r="CT43" s="206">
        <f t="shared" si="154"/>
        <v>5.8491036331210928</v>
      </c>
      <c r="CU43" s="206">
        <f t="shared" si="155"/>
        <v>0.85483183640088634</v>
      </c>
      <c r="CV43">
        <f t="shared" si="156"/>
        <v>39.42</v>
      </c>
    </row>
    <row r="44" spans="1:100" x14ac:dyDescent="0.25">
      <c r="A44" s="12" t="s">
        <v>397</v>
      </c>
      <c r="B44" s="19">
        <f>IF(AND(Vout2&lt;&gt;0,Iout2&lt;&gt;0),(Iout2*B10)/(Vout2_Ripple*(10^-3)),0)</f>
        <v>1.8518518518518518E-5</v>
      </c>
      <c r="C44" s="12" t="s">
        <v>351</v>
      </c>
      <c r="K44">
        <v>40</v>
      </c>
      <c r="L44" s="91">
        <f t="shared" si="87"/>
        <v>40.200000000000003</v>
      </c>
      <c r="M44" s="93">
        <f t="shared" si="88"/>
        <v>0.13819789939192922</v>
      </c>
      <c r="N44" s="122">
        <f t="shared" si="69"/>
        <v>7.648688771377216E-5</v>
      </c>
      <c r="O44" s="97">
        <f t="shared" si="70"/>
        <v>6.8838198942394941E-5</v>
      </c>
      <c r="P44" s="123">
        <f t="shared" si="71"/>
        <v>6.2580180856722665E-5</v>
      </c>
      <c r="Q44" s="127">
        <f t="shared" si="72"/>
        <v>0.12437810945273631</v>
      </c>
      <c r="R44" s="91">
        <f t="shared" si="73"/>
        <v>1.1111111111111112</v>
      </c>
      <c r="S44" s="92">
        <f t="shared" si="89"/>
        <v>0.34746900418542209</v>
      </c>
      <c r="T44" s="92">
        <f t="shared" si="74"/>
        <v>1.2848456132038222</v>
      </c>
      <c r="U44" s="92">
        <f t="shared" si="90"/>
        <v>1.5399970503947169</v>
      </c>
      <c r="V44" s="93">
        <f t="shared" si="91"/>
        <v>0.39345217979164726</v>
      </c>
      <c r="W44" s="92">
        <f t="shared" si="76"/>
        <v>0.36838289643583744</v>
      </c>
      <c r="X44" s="117">
        <f t="shared" si="92"/>
        <v>0.57102272727272729</v>
      </c>
      <c r="Y44" s="103">
        <f t="shared" si="93"/>
        <v>0.30924617674031868</v>
      </c>
      <c r="Z44" s="103">
        <f t="shared" si="94"/>
        <v>0.54082305217125926</v>
      </c>
      <c r="AA44" s="118">
        <f t="shared" si="95"/>
        <v>0.2061299923830508</v>
      </c>
      <c r="AB44" s="117">
        <f t="shared" si="96"/>
        <v>0.57102272727272729</v>
      </c>
      <c r="AC44" s="103">
        <f t="shared" si="97"/>
        <v>0.30924617674031868</v>
      </c>
      <c r="AD44" s="103">
        <f t="shared" si="98"/>
        <v>0.54082305217125926</v>
      </c>
      <c r="AE44" s="118">
        <f t="shared" si="99"/>
        <v>0.2061299923830508</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21">
        <f t="shared" si="116"/>
        <v>2.8021693885921132E-2</v>
      </c>
      <c r="AW44" s="21">
        <f t="shared" si="77"/>
        <v>0</v>
      </c>
      <c r="AX44" s="139">
        <f t="shared" si="117"/>
        <v>0</v>
      </c>
      <c r="AY44" s="140">
        <v>40</v>
      </c>
      <c r="AZ44" s="141">
        <f t="shared" si="118"/>
        <v>0</v>
      </c>
      <c r="BA44" s="19">
        <f t="shared" si="119"/>
        <v>16.392063757552851</v>
      </c>
      <c r="BB44" s="142">
        <f t="shared" si="120"/>
        <v>6.0486715265370018E-3</v>
      </c>
      <c r="BC44" s="19">
        <f t="shared" si="78"/>
        <v>20.06387007680533</v>
      </c>
      <c r="BD44" s="79">
        <f t="shared" si="121"/>
        <v>7.4035680583411662E-3</v>
      </c>
      <c r="BE44" s="144">
        <f t="shared" si="122"/>
        <v>2.674336078918896E-3</v>
      </c>
      <c r="BF44" s="148">
        <f t="shared" si="123"/>
        <v>2.166212223924306E-3</v>
      </c>
      <c r="BG44" s="144">
        <f t="shared" si="124"/>
        <v>9.3302103059902303E-2</v>
      </c>
      <c r="BH44" s="152">
        <f t="shared" si="125"/>
        <v>1.5857466359646372E-2</v>
      </c>
      <c r="BI44" s="28">
        <f t="shared" si="126"/>
        <v>9.3302103059902303E-2</v>
      </c>
      <c r="BJ44" s="29">
        <f t="shared" si="127"/>
        <v>1.5857466359646372E-2</v>
      </c>
      <c r="BK44" s="28">
        <f t="shared" si="128"/>
        <v>0</v>
      </c>
      <c r="BL44" s="29">
        <f t="shared" si="129"/>
        <v>0</v>
      </c>
      <c r="BM44" s="28">
        <f t="shared" si="130"/>
        <v>0</v>
      </c>
      <c r="BN44" s="29">
        <f t="shared" si="131"/>
        <v>0</v>
      </c>
      <c r="BO44" s="28">
        <f t="shared" si="132"/>
        <v>0</v>
      </c>
      <c r="BP44" s="29">
        <f t="shared" si="133"/>
        <v>0</v>
      </c>
      <c r="BQ44" s="150">
        <f t="shared" si="134"/>
        <v>0</v>
      </c>
      <c r="BR44" s="29">
        <f t="shared" si="135"/>
        <v>0</v>
      </c>
      <c r="BS44" s="91">
        <f t="shared" si="79"/>
        <v>0.22315968714194054</v>
      </c>
      <c r="BT44" s="206">
        <f t="shared" si="80"/>
        <v>0.22315968714194054</v>
      </c>
      <c r="BU44" s="206">
        <f t="shared" si="81"/>
        <v>0.22315968714194054</v>
      </c>
      <c r="BV44" s="97">
        <f t="shared" si="82"/>
        <v>0.22920835866847755</v>
      </c>
      <c r="BW44" s="123">
        <f t="shared" si="83"/>
        <v>0.2305632552002817</v>
      </c>
      <c r="BX44" s="91">
        <f>(M44^2)*'Fly-Buck_Calc'!$B$80</f>
        <v>1.3369061577439257E-3</v>
      </c>
      <c r="BY44" s="92">
        <f t="shared" si="136"/>
        <v>5.0000000000000001E-3</v>
      </c>
      <c r="BZ44" s="92">
        <f t="shared" si="137"/>
        <v>5.0000000000000001E-3</v>
      </c>
      <c r="CA44" s="92">
        <f t="shared" si="138"/>
        <v>0</v>
      </c>
      <c r="CB44" s="92">
        <f t="shared" si="139"/>
        <v>0</v>
      </c>
      <c r="CC44" s="92">
        <f t="shared" si="140"/>
        <v>0</v>
      </c>
      <c r="CD44" s="92">
        <f t="shared" si="141"/>
        <v>0</v>
      </c>
      <c r="CE44" s="127">
        <f t="shared" si="84"/>
        <v>1.1336906157743926E-2</v>
      </c>
      <c r="CF44" s="91">
        <f t="shared" si="85"/>
        <v>5.53861122493912E-3</v>
      </c>
      <c r="CG44" s="92">
        <f t="shared" si="142"/>
        <v>0.20100000000000007</v>
      </c>
      <c r="CH44" s="206">
        <f t="shared" si="143"/>
        <v>8.333333333333335E-3</v>
      </c>
      <c r="CI44" s="92">
        <f t="shared" si="144"/>
        <v>0.24120000000000003</v>
      </c>
      <c r="CJ44" s="93">
        <f t="shared" si="145"/>
        <v>0.09</v>
      </c>
      <c r="CK44" s="92">
        <f t="shared" si="146"/>
        <v>0.54607194455827257</v>
      </c>
      <c r="CL44" s="188">
        <f t="shared" si="147"/>
        <v>0.15</v>
      </c>
      <c r="CM44" s="206">
        <f t="shared" si="148"/>
        <v>0.15</v>
      </c>
      <c r="CN44" s="206">
        <f t="shared" si="149"/>
        <v>0</v>
      </c>
      <c r="CO44" s="206">
        <f t="shared" si="150"/>
        <v>0</v>
      </c>
      <c r="CP44" s="206">
        <f t="shared" si="151"/>
        <v>0</v>
      </c>
      <c r="CQ44" s="227">
        <f t="shared" si="152"/>
        <v>0</v>
      </c>
      <c r="CR44" s="231">
        <f t="shared" si="86"/>
        <v>0.3</v>
      </c>
      <c r="CS44" s="206">
        <f t="shared" si="153"/>
        <v>0.85740885071601647</v>
      </c>
      <c r="CT44" s="206">
        <f t="shared" si="154"/>
        <v>5.8574088507160162</v>
      </c>
      <c r="CU44" s="206">
        <f t="shared" si="155"/>
        <v>0.85361977069242734</v>
      </c>
      <c r="CV44">
        <f t="shared" si="156"/>
        <v>40.200000000000003</v>
      </c>
    </row>
    <row r="45" spans="1:100" x14ac:dyDescent="0.25">
      <c r="A45" s="185" t="s">
        <v>398</v>
      </c>
      <c r="B45" s="12">
        <f>COUT2_FB</f>
        <v>1.9999999999999998E-5</v>
      </c>
      <c r="C45" s="12" t="s">
        <v>351</v>
      </c>
      <c r="K45">
        <v>41</v>
      </c>
      <c r="L45" s="91">
        <f t="shared" si="87"/>
        <v>40.980000000000004</v>
      </c>
      <c r="M45" s="93">
        <f t="shared" si="88"/>
        <v>0.13556748549427902</v>
      </c>
      <c r="N45" s="122">
        <f t="shared" si="69"/>
        <v>7.6693681259184908E-5</v>
      </c>
      <c r="O45" s="97">
        <f t="shared" si="70"/>
        <v>6.9024313133266422E-5</v>
      </c>
      <c r="P45" s="123">
        <f t="shared" si="71"/>
        <v>6.2749375575696742E-5</v>
      </c>
      <c r="Q45" s="127">
        <f t="shared" si="72"/>
        <v>0.12201073694485114</v>
      </c>
      <c r="R45" s="91">
        <f t="shared" si="73"/>
        <v>1.1111111111111109</v>
      </c>
      <c r="S45" s="92">
        <f t="shared" si="89"/>
        <v>0.34840843772029717</v>
      </c>
      <c r="T45" s="92">
        <f t="shared" si="74"/>
        <v>1.2853153299712594</v>
      </c>
      <c r="U45" s="92">
        <f t="shared" si="90"/>
        <v>1.5348446819808541</v>
      </c>
      <c r="V45" s="93">
        <f t="shared" si="91"/>
        <v>0.38969829849662185</v>
      </c>
      <c r="W45" s="92">
        <f t="shared" si="76"/>
        <v>0.365357661378437</v>
      </c>
      <c r="X45" s="117">
        <f t="shared" si="92"/>
        <v>0.56948304613674261</v>
      </c>
      <c r="Y45" s="103">
        <f t="shared" si="93"/>
        <v>0.31008226924198751</v>
      </c>
      <c r="Z45" s="103">
        <f t="shared" si="94"/>
        <v>0.54016338843595857</v>
      </c>
      <c r="AA45" s="118">
        <f t="shared" si="95"/>
        <v>0.20439297005184959</v>
      </c>
      <c r="AB45" s="117">
        <f t="shared" si="96"/>
        <v>0.56948304613674261</v>
      </c>
      <c r="AC45" s="103">
        <f t="shared" si="97"/>
        <v>0.31008226924198751</v>
      </c>
      <c r="AD45" s="103">
        <f t="shared" si="98"/>
        <v>0.54016338843595857</v>
      </c>
      <c r="AE45" s="118">
        <f t="shared" si="99"/>
        <v>0.20439297005184959</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21">
        <f t="shared" si="116"/>
        <v>2.8097454654862675E-2</v>
      </c>
      <c r="AW45" s="21">
        <f t="shared" si="77"/>
        <v>0</v>
      </c>
      <c r="AX45" s="139">
        <f t="shared" si="117"/>
        <v>0</v>
      </c>
      <c r="AY45" s="140">
        <v>41</v>
      </c>
      <c r="AZ45" s="141">
        <f t="shared" si="118"/>
        <v>0</v>
      </c>
      <c r="BA45" s="19">
        <f t="shared" si="119"/>
        <v>16.510215278242296</v>
      </c>
      <c r="BB45" s="142">
        <f t="shared" si="120"/>
        <v>6.0922694376714069E-3</v>
      </c>
      <c r="BC45" s="19">
        <f t="shared" si="78"/>
        <v>20.197577790852904</v>
      </c>
      <c r="BD45" s="79">
        <f t="shared" si="121"/>
        <v>7.452906204824721E-3</v>
      </c>
      <c r="BE45" s="144">
        <f t="shared" si="122"/>
        <v>2.5735000521484798E-3</v>
      </c>
      <c r="BF45" s="148">
        <f t="shared" si="123"/>
        <v>2.0845350422402692E-3</v>
      </c>
      <c r="BG45" s="144">
        <f t="shared" si="124"/>
        <v>9.3302103059902303E-2</v>
      </c>
      <c r="BH45" s="152">
        <f t="shared" si="125"/>
        <v>1.5591336086121198E-2</v>
      </c>
      <c r="BI45" s="28">
        <f t="shared" si="126"/>
        <v>9.3302103059902303E-2</v>
      </c>
      <c r="BJ45" s="29">
        <f t="shared" si="127"/>
        <v>1.5591336086121198E-2</v>
      </c>
      <c r="BK45" s="28">
        <f t="shared" si="128"/>
        <v>0</v>
      </c>
      <c r="BL45" s="29">
        <f t="shared" si="129"/>
        <v>0</v>
      </c>
      <c r="BM45" s="28">
        <f t="shared" si="130"/>
        <v>0</v>
      </c>
      <c r="BN45" s="29">
        <f t="shared" si="131"/>
        <v>0</v>
      </c>
      <c r="BO45" s="28">
        <f t="shared" si="132"/>
        <v>0</v>
      </c>
      <c r="BP45" s="29">
        <f t="shared" si="133"/>
        <v>0</v>
      </c>
      <c r="BQ45" s="150">
        <f t="shared" si="134"/>
        <v>0</v>
      </c>
      <c r="BR45" s="29">
        <f t="shared" si="135"/>
        <v>0</v>
      </c>
      <c r="BS45" s="91">
        <f t="shared" si="79"/>
        <v>0.22244491338643577</v>
      </c>
      <c r="BT45" s="206">
        <f t="shared" si="80"/>
        <v>0.22244491338643577</v>
      </c>
      <c r="BU45" s="206">
        <f t="shared" si="81"/>
        <v>0.22244491338643577</v>
      </c>
      <c r="BV45" s="97">
        <f t="shared" si="82"/>
        <v>0.22853718282410718</v>
      </c>
      <c r="BW45" s="123">
        <f t="shared" si="83"/>
        <v>0.22989781959126049</v>
      </c>
      <c r="BX45" s="91">
        <f>(M45^2)*'Fly-Buck_Calc'!$B$80</f>
        <v>1.2864980186269089E-3</v>
      </c>
      <c r="BY45" s="92">
        <f t="shared" si="136"/>
        <v>5.0000000000000001E-3</v>
      </c>
      <c r="BZ45" s="92">
        <f t="shared" si="137"/>
        <v>5.0000000000000001E-3</v>
      </c>
      <c r="CA45" s="92">
        <f t="shared" si="138"/>
        <v>0</v>
      </c>
      <c r="CB45" s="92">
        <f t="shared" si="139"/>
        <v>0</v>
      </c>
      <c r="CC45" s="92">
        <f t="shared" si="140"/>
        <v>0</v>
      </c>
      <c r="CD45" s="92">
        <f t="shared" si="141"/>
        <v>0</v>
      </c>
      <c r="CE45" s="127">
        <f t="shared" si="84"/>
        <v>1.1286498018626908E-2</v>
      </c>
      <c r="CF45" s="91">
        <f t="shared" si="85"/>
        <v>5.3297775057400496E-3</v>
      </c>
      <c r="CG45" s="92">
        <f t="shared" si="142"/>
        <v>0.20490000000000003</v>
      </c>
      <c r="CH45" s="206">
        <f t="shared" si="143"/>
        <v>8.3333333333333332E-3</v>
      </c>
      <c r="CI45" s="92">
        <f t="shared" si="144"/>
        <v>0.24588000000000002</v>
      </c>
      <c r="CJ45" s="93">
        <f t="shared" si="145"/>
        <v>0.09</v>
      </c>
      <c r="CK45" s="92">
        <f t="shared" si="146"/>
        <v>0.55444311083907338</v>
      </c>
      <c r="CL45" s="188">
        <f t="shared" si="147"/>
        <v>0.15</v>
      </c>
      <c r="CM45" s="206">
        <f t="shared" si="148"/>
        <v>0.15</v>
      </c>
      <c r="CN45" s="206">
        <f t="shared" si="149"/>
        <v>0</v>
      </c>
      <c r="CO45" s="206">
        <f t="shared" si="150"/>
        <v>0</v>
      </c>
      <c r="CP45" s="206">
        <f t="shared" si="151"/>
        <v>0</v>
      </c>
      <c r="CQ45" s="227">
        <f t="shared" si="152"/>
        <v>0</v>
      </c>
      <c r="CR45" s="231">
        <f t="shared" si="86"/>
        <v>0.3</v>
      </c>
      <c r="CS45" s="206">
        <f t="shared" si="153"/>
        <v>0.86572960885770023</v>
      </c>
      <c r="CT45" s="206">
        <f t="shared" si="154"/>
        <v>5.8657296088577002</v>
      </c>
      <c r="CU45" s="206">
        <f t="shared" si="155"/>
        <v>0.85240887893121053</v>
      </c>
      <c r="CV45">
        <f t="shared" si="156"/>
        <v>40.980000000000004</v>
      </c>
    </row>
    <row r="46" spans="1:100" x14ac:dyDescent="0.25">
      <c r="A46" s="12" t="s">
        <v>399</v>
      </c>
      <c r="B46" s="19">
        <f>IF(AND(Vout3&lt;&gt;0,Iout3&lt;&gt;0),(Iout3*B10)/(Vout3_Ripple*(10^-3)),0)</f>
        <v>0</v>
      </c>
      <c r="C46" s="12" t="s">
        <v>351</v>
      </c>
      <c r="K46">
        <v>42</v>
      </c>
      <c r="L46" s="91">
        <f t="shared" si="87"/>
        <v>41.76</v>
      </c>
      <c r="M46" s="93">
        <f t="shared" si="88"/>
        <v>0.13303533418475949</v>
      </c>
      <c r="N46" s="122">
        <f t="shared" si="69"/>
        <v>7.6892749758360968E-5</v>
      </c>
      <c r="O46" s="97">
        <f t="shared" si="70"/>
        <v>6.9203474782524881E-5</v>
      </c>
      <c r="P46" s="123">
        <f t="shared" si="71"/>
        <v>6.2912249802295328E-5</v>
      </c>
      <c r="Q46" s="127">
        <f t="shared" si="72"/>
        <v>0.11973180076628354</v>
      </c>
      <c r="R46" s="91">
        <f t="shared" si="73"/>
        <v>1.1111111111111112</v>
      </c>
      <c r="S46" s="92">
        <f t="shared" si="89"/>
        <v>0.34931277747369704</v>
      </c>
      <c r="T46" s="92">
        <f t="shared" si="74"/>
        <v>1.2857674998479598</v>
      </c>
      <c r="U46" s="92">
        <f t="shared" si="90"/>
        <v>1.5298566518281163</v>
      </c>
      <c r="V46" s="93">
        <f t="shared" si="91"/>
        <v>0.38604987374944555</v>
      </c>
      <c r="W46" s="92">
        <f t="shared" si="76"/>
        <v>0.36240323519570328</v>
      </c>
      <c r="X46" s="117">
        <f t="shared" si="92"/>
        <v>0.56800870511425461</v>
      </c>
      <c r="Y46" s="103">
        <f t="shared" si="93"/>
        <v>0.31088712840307675</v>
      </c>
      <c r="Z46" s="103">
        <f t="shared" si="94"/>
        <v>0.53953149909371256</v>
      </c>
      <c r="AA46" s="118">
        <f t="shared" si="95"/>
        <v>0.2027171391725642</v>
      </c>
      <c r="AB46" s="117">
        <f t="shared" si="96"/>
        <v>0.56800870511425461</v>
      </c>
      <c r="AC46" s="103">
        <f t="shared" si="97"/>
        <v>0.31088712840307675</v>
      </c>
      <c r="AD46" s="103">
        <f t="shared" si="98"/>
        <v>0.53953149909371256</v>
      </c>
      <c r="AE46" s="118">
        <f t="shared" si="99"/>
        <v>0.2027171391725642</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21">
        <f t="shared" si="116"/>
        <v>2.8170385280136857E-2</v>
      </c>
      <c r="AW46" s="21">
        <f t="shared" si="77"/>
        <v>0</v>
      </c>
      <c r="AX46" s="139">
        <f t="shared" si="117"/>
        <v>0</v>
      </c>
      <c r="AY46" s="140">
        <v>42</v>
      </c>
      <c r="AZ46" s="141">
        <f t="shared" si="118"/>
        <v>0</v>
      </c>
      <c r="BA46" s="19">
        <f t="shared" si="119"/>
        <v>16.624453777717925</v>
      </c>
      <c r="BB46" s="142">
        <f t="shared" si="120"/>
        <v>6.1344234439779143E-3</v>
      </c>
      <c r="BC46" s="19">
        <f t="shared" si="78"/>
        <v>20.326788886339784</v>
      </c>
      <c r="BD46" s="79">
        <f t="shared" si="121"/>
        <v>7.5005850990593802E-3</v>
      </c>
      <c r="BE46" s="144">
        <f t="shared" si="122"/>
        <v>2.478261382420674E-3</v>
      </c>
      <c r="BF46" s="148">
        <f t="shared" si="123"/>
        <v>2.0073917197607452E-3</v>
      </c>
      <c r="BG46" s="144">
        <f t="shared" si="124"/>
        <v>9.3302103059902303E-2</v>
      </c>
      <c r="BH46" s="152">
        <f t="shared" si="125"/>
        <v>1.5336715508120973E-2</v>
      </c>
      <c r="BI46" s="28">
        <f t="shared" si="126"/>
        <v>9.3302103059902303E-2</v>
      </c>
      <c r="BJ46" s="29">
        <f t="shared" si="127"/>
        <v>1.5336715508120973E-2</v>
      </c>
      <c r="BK46" s="28">
        <f t="shared" si="128"/>
        <v>0</v>
      </c>
      <c r="BL46" s="29">
        <f t="shared" si="129"/>
        <v>0</v>
      </c>
      <c r="BM46" s="28">
        <f t="shared" si="130"/>
        <v>0</v>
      </c>
      <c r="BN46" s="29">
        <f t="shared" si="131"/>
        <v>0</v>
      </c>
      <c r="BO46" s="28">
        <f t="shared" si="132"/>
        <v>0</v>
      </c>
      <c r="BP46" s="29">
        <f t="shared" si="133"/>
        <v>0</v>
      </c>
      <c r="BQ46" s="150">
        <f t="shared" si="134"/>
        <v>0</v>
      </c>
      <c r="BR46" s="29">
        <f t="shared" si="135"/>
        <v>0</v>
      </c>
      <c r="BS46" s="91">
        <f t="shared" si="79"/>
        <v>0.22176329023822797</v>
      </c>
      <c r="BT46" s="206">
        <f t="shared" si="80"/>
        <v>0.22176329023822797</v>
      </c>
      <c r="BU46" s="206">
        <f t="shared" si="81"/>
        <v>0.22176329023822797</v>
      </c>
      <c r="BV46" s="97">
        <f t="shared" si="82"/>
        <v>0.22789771368220588</v>
      </c>
      <c r="BW46" s="123">
        <f t="shared" si="83"/>
        <v>0.22926387533728734</v>
      </c>
      <c r="BX46" s="91">
        <f>(M46^2)*'Fly-Buck_Calc'!$B$80</f>
        <v>1.2388880099155448E-3</v>
      </c>
      <c r="BY46" s="92">
        <f t="shared" si="136"/>
        <v>5.0000000000000001E-3</v>
      </c>
      <c r="BZ46" s="92">
        <f t="shared" si="137"/>
        <v>5.0000000000000001E-3</v>
      </c>
      <c r="CA46" s="92">
        <f t="shared" si="138"/>
        <v>0</v>
      </c>
      <c r="CB46" s="92">
        <f t="shared" si="139"/>
        <v>0</v>
      </c>
      <c r="CC46" s="92">
        <f t="shared" si="140"/>
        <v>0</v>
      </c>
      <c r="CD46" s="92">
        <f t="shared" si="141"/>
        <v>0</v>
      </c>
      <c r="CE46" s="127">
        <f t="shared" si="84"/>
        <v>1.1238888009915545E-2</v>
      </c>
      <c r="CF46" s="91">
        <f t="shared" si="85"/>
        <v>5.1325360410786848E-3</v>
      </c>
      <c r="CG46" s="92">
        <f t="shared" si="142"/>
        <v>0.20880000000000004</v>
      </c>
      <c r="CH46" s="206">
        <f t="shared" si="143"/>
        <v>8.333333333333335E-3</v>
      </c>
      <c r="CI46" s="92">
        <f t="shared" si="144"/>
        <v>0.25056</v>
      </c>
      <c r="CJ46" s="93">
        <f t="shared" si="145"/>
        <v>0.09</v>
      </c>
      <c r="CK46" s="92">
        <f t="shared" si="146"/>
        <v>0.56282586937441204</v>
      </c>
      <c r="CL46" s="188">
        <f t="shared" si="147"/>
        <v>0.15</v>
      </c>
      <c r="CM46" s="206">
        <f t="shared" si="148"/>
        <v>0.15</v>
      </c>
      <c r="CN46" s="206">
        <f t="shared" si="149"/>
        <v>0</v>
      </c>
      <c r="CO46" s="206">
        <f t="shared" si="150"/>
        <v>0</v>
      </c>
      <c r="CP46" s="206">
        <f t="shared" si="151"/>
        <v>0</v>
      </c>
      <c r="CQ46" s="227">
        <f t="shared" si="152"/>
        <v>0</v>
      </c>
      <c r="CR46" s="231">
        <f t="shared" si="86"/>
        <v>0.3</v>
      </c>
      <c r="CS46" s="206">
        <f t="shared" si="153"/>
        <v>0.87406475738432754</v>
      </c>
      <c r="CT46" s="206">
        <f t="shared" si="154"/>
        <v>5.8740647573843274</v>
      </c>
      <c r="CU46" s="206">
        <f t="shared" si="155"/>
        <v>0.85119933240682533</v>
      </c>
      <c r="CV46">
        <f t="shared" si="156"/>
        <v>41.76</v>
      </c>
    </row>
    <row r="47" spans="1:100" x14ac:dyDescent="0.25">
      <c r="A47" s="185" t="s">
        <v>400</v>
      </c>
      <c r="B47" s="12">
        <f>COUT3_FB</f>
        <v>0</v>
      </c>
      <c r="C47" s="12" t="s">
        <v>351</v>
      </c>
      <c r="K47">
        <v>43</v>
      </c>
      <c r="L47" s="91">
        <f t="shared" si="87"/>
        <v>42.54</v>
      </c>
      <c r="M47" s="93">
        <f t="shared" si="88"/>
        <v>0.13059604032805724</v>
      </c>
      <c r="N47" s="122">
        <f t="shared" si="69"/>
        <v>7.7084518143321837E-5</v>
      </c>
      <c r="O47" s="97">
        <f t="shared" si="70"/>
        <v>6.9376066328989658E-5</v>
      </c>
      <c r="P47" s="123">
        <f t="shared" si="71"/>
        <v>6.3069151208172396E-5</v>
      </c>
      <c r="Q47" s="127">
        <f t="shared" si="72"/>
        <v>0.11753643629525153</v>
      </c>
      <c r="R47" s="91">
        <f t="shared" si="73"/>
        <v>1.1111111111111112</v>
      </c>
      <c r="S47" s="92">
        <f t="shared" si="89"/>
        <v>0.35018395385109063</v>
      </c>
      <c r="T47" s="92">
        <f t="shared" si="74"/>
        <v>1.2862030880366564</v>
      </c>
      <c r="U47" s="92">
        <f t="shared" si="90"/>
        <v>1.5250244824141479</v>
      </c>
      <c r="V47" s="93">
        <f t="shared" si="91"/>
        <v>0.38250205773160945</v>
      </c>
      <c r="W47" s="92">
        <f t="shared" si="76"/>
        <v>0.35951703495042892</v>
      </c>
      <c r="X47" s="117">
        <f t="shared" si="92"/>
        <v>0.56659563132658497</v>
      </c>
      <c r="Y47" s="103">
        <f t="shared" si="93"/>
        <v>0.31166247227758154</v>
      </c>
      <c r="Z47" s="103">
        <f t="shared" si="94"/>
        <v>0.53892567202006525</v>
      </c>
      <c r="AA47" s="118">
        <f t="shared" si="95"/>
        <v>0.2010991794172193</v>
      </c>
      <c r="AB47" s="117">
        <f t="shared" si="96"/>
        <v>0.56659563132658497</v>
      </c>
      <c r="AC47" s="103">
        <f t="shared" si="97"/>
        <v>0.31166247227758154</v>
      </c>
      <c r="AD47" s="103">
        <f t="shared" si="98"/>
        <v>0.53892567202006525</v>
      </c>
      <c r="AE47" s="118">
        <f t="shared" si="99"/>
        <v>0.2010991794172193</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21">
        <f t="shared" si="116"/>
        <v>2.8240641439604083E-2</v>
      </c>
      <c r="AW47" s="21">
        <f t="shared" si="77"/>
        <v>0</v>
      </c>
      <c r="AX47" s="139">
        <f t="shared" si="117"/>
        <v>0</v>
      </c>
      <c r="AY47" s="140">
        <v>43</v>
      </c>
      <c r="AZ47" s="141">
        <f t="shared" si="118"/>
        <v>0</v>
      </c>
      <c r="BA47" s="19">
        <f t="shared" si="119"/>
        <v>16.734968259456625</v>
      </c>
      <c r="BB47" s="142">
        <f t="shared" si="120"/>
        <v>6.1752032877394943E-3</v>
      </c>
      <c r="BC47" s="19">
        <f t="shared" si="78"/>
        <v>20.451724358292378</v>
      </c>
      <c r="BD47" s="79">
        <f t="shared" si="121"/>
        <v>7.5466862882098869E-3</v>
      </c>
      <c r="BE47" s="144">
        <f t="shared" si="122"/>
        <v>2.3882133317684427E-3</v>
      </c>
      <c r="BF47" s="148">
        <f t="shared" si="123"/>
        <v>1.9344527987324388E-3</v>
      </c>
      <c r="BG47" s="144">
        <f t="shared" si="124"/>
        <v>9.3302103059902303E-2</v>
      </c>
      <c r="BH47" s="152">
        <f t="shared" si="125"/>
        <v>1.5092876600294756E-2</v>
      </c>
      <c r="BI47" s="28">
        <f t="shared" si="126"/>
        <v>9.3302103059902303E-2</v>
      </c>
      <c r="BJ47" s="29">
        <f t="shared" si="127"/>
        <v>1.5092876600294756E-2</v>
      </c>
      <c r="BK47" s="28">
        <f t="shared" si="128"/>
        <v>0</v>
      </c>
      <c r="BL47" s="29">
        <f t="shared" si="129"/>
        <v>0</v>
      </c>
      <c r="BM47" s="28">
        <f t="shared" si="130"/>
        <v>0</v>
      </c>
      <c r="BN47" s="29">
        <f t="shared" si="131"/>
        <v>0</v>
      </c>
      <c r="BO47" s="28">
        <f t="shared" si="132"/>
        <v>0</v>
      </c>
      <c r="BP47" s="29">
        <f t="shared" si="133"/>
        <v>0</v>
      </c>
      <c r="BQ47" s="150">
        <f t="shared" si="134"/>
        <v>0</v>
      </c>
      <c r="BR47" s="29">
        <f t="shared" si="135"/>
        <v>0</v>
      </c>
      <c r="BS47" s="91">
        <f t="shared" si="79"/>
        <v>0.221112625450895</v>
      </c>
      <c r="BT47" s="206">
        <f t="shared" si="80"/>
        <v>0.221112625450895</v>
      </c>
      <c r="BU47" s="206">
        <f t="shared" si="81"/>
        <v>0.221112625450895</v>
      </c>
      <c r="BV47" s="97">
        <f t="shared" si="82"/>
        <v>0.22728782873863448</v>
      </c>
      <c r="BW47" s="123">
        <f t="shared" si="83"/>
        <v>0.22865931173910489</v>
      </c>
      <c r="BX47" s="91">
        <f>(M47^2)*'Fly-Buck_Calc'!$B$80</f>
        <v>1.1938728024557289E-3</v>
      </c>
      <c r="BY47" s="92">
        <f t="shared" si="136"/>
        <v>5.0000000000000001E-3</v>
      </c>
      <c r="BZ47" s="92">
        <f t="shared" si="137"/>
        <v>5.0000000000000001E-3</v>
      </c>
      <c r="CA47" s="92">
        <f t="shared" si="138"/>
        <v>0</v>
      </c>
      <c r="CB47" s="92">
        <f t="shared" si="139"/>
        <v>0</v>
      </c>
      <c r="CC47" s="92">
        <f t="shared" si="140"/>
        <v>0</v>
      </c>
      <c r="CD47" s="92">
        <f t="shared" si="141"/>
        <v>0</v>
      </c>
      <c r="CE47" s="127">
        <f t="shared" si="84"/>
        <v>1.1193872802455729E-2</v>
      </c>
      <c r="CF47" s="91">
        <f t="shared" si="85"/>
        <v>4.9460444673165901E-3</v>
      </c>
      <c r="CG47" s="92">
        <f t="shared" si="142"/>
        <v>0.21270000000000003</v>
      </c>
      <c r="CH47" s="206">
        <f t="shared" si="143"/>
        <v>8.333333333333335E-3</v>
      </c>
      <c r="CI47" s="92">
        <f t="shared" si="144"/>
        <v>0.25524000000000002</v>
      </c>
      <c r="CJ47" s="93">
        <f t="shared" si="145"/>
        <v>0.09</v>
      </c>
      <c r="CK47" s="92">
        <f t="shared" si="146"/>
        <v>0.57121937780064991</v>
      </c>
      <c r="CL47" s="188">
        <f t="shared" si="147"/>
        <v>0.15</v>
      </c>
      <c r="CM47" s="206">
        <f t="shared" si="148"/>
        <v>0.15</v>
      </c>
      <c r="CN47" s="206">
        <f t="shared" si="149"/>
        <v>0</v>
      </c>
      <c r="CO47" s="206">
        <f t="shared" si="150"/>
        <v>0</v>
      </c>
      <c r="CP47" s="206">
        <f t="shared" si="151"/>
        <v>0</v>
      </c>
      <c r="CQ47" s="227">
        <f t="shared" si="152"/>
        <v>0</v>
      </c>
      <c r="CR47" s="231">
        <f t="shared" si="86"/>
        <v>0.3</v>
      </c>
      <c r="CS47" s="206">
        <f t="shared" si="153"/>
        <v>0.8824132506031056</v>
      </c>
      <c r="CT47" s="206">
        <f t="shared" si="154"/>
        <v>5.8824132506031059</v>
      </c>
      <c r="CU47" s="206">
        <f t="shared" si="155"/>
        <v>0.8499912853771987</v>
      </c>
      <c r="CV47">
        <f t="shared" si="156"/>
        <v>42.54</v>
      </c>
    </row>
    <row r="48" spans="1:100" x14ac:dyDescent="0.25">
      <c r="A48" s="12" t="s">
        <v>401</v>
      </c>
      <c r="B48" s="19">
        <f>IF(AND(Vout4&lt;&gt;0,Iout4&lt;&gt;0),(Iout4*B10)/(Vout4_Ripple*(10^-3)),0)</f>
        <v>0</v>
      </c>
      <c r="C48" s="12" t="s">
        <v>351</v>
      </c>
      <c r="K48">
        <v>44</v>
      </c>
      <c r="L48" s="91">
        <f t="shared" si="87"/>
        <v>43.32</v>
      </c>
      <c r="M48" s="93">
        <f t="shared" si="88"/>
        <v>0.1282445880783831</v>
      </c>
      <c r="N48" s="122">
        <f t="shared" si="69"/>
        <v>7.726938074156666E-5</v>
      </c>
      <c r="O48" s="97">
        <f t="shared" si="70"/>
        <v>6.9542442667410004E-5</v>
      </c>
      <c r="P48" s="123">
        <f t="shared" si="71"/>
        <v>6.3220402424918172E-5</v>
      </c>
      <c r="Q48" s="127">
        <f t="shared" si="72"/>
        <v>0.11542012927054478</v>
      </c>
      <c r="R48" s="91">
        <f t="shared" si="73"/>
        <v>1.1111111111111112</v>
      </c>
      <c r="S48" s="92">
        <f t="shared" si="89"/>
        <v>0.35102375822597431</v>
      </c>
      <c r="T48" s="92">
        <f t="shared" si="74"/>
        <v>1.2866229902240982</v>
      </c>
      <c r="U48" s="92">
        <f t="shared" si="90"/>
        <v>1.5203402942163067</v>
      </c>
      <c r="V48" s="93">
        <f t="shared" si="91"/>
        <v>0.37905030904717779</v>
      </c>
      <c r="W48" s="92">
        <f t="shared" si="76"/>
        <v>0.35669659714856661</v>
      </c>
      <c r="X48" s="117">
        <f t="shared" si="92"/>
        <v>0.56524008350730692</v>
      </c>
      <c r="Y48" s="103">
        <f t="shared" si="93"/>
        <v>0.31240989518153639</v>
      </c>
      <c r="Z48" s="103">
        <f t="shared" si="94"/>
        <v>0.53834433262694759</v>
      </c>
      <c r="AA48" s="118">
        <f t="shared" si="95"/>
        <v>0.19953601296897158</v>
      </c>
      <c r="AB48" s="117">
        <f t="shared" si="96"/>
        <v>0.56524008350730692</v>
      </c>
      <c r="AC48" s="103">
        <f t="shared" si="97"/>
        <v>0.31240989518153639</v>
      </c>
      <c r="AD48" s="103">
        <f t="shared" si="98"/>
        <v>0.53834433262694759</v>
      </c>
      <c r="AE48" s="118">
        <f t="shared" si="99"/>
        <v>0.19953601296897158</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21">
        <f t="shared" si="116"/>
        <v>2.8308367598868893E-2</v>
      </c>
      <c r="AW48" s="21">
        <f t="shared" si="77"/>
        <v>0</v>
      </c>
      <c r="AX48" s="139">
        <f t="shared" si="117"/>
        <v>0</v>
      </c>
      <c r="AY48" s="140">
        <v>44</v>
      </c>
      <c r="AZ48" s="141">
        <f t="shared" si="118"/>
        <v>0</v>
      </c>
      <c r="BA48" s="19">
        <f t="shared" si="119"/>
        <v>16.841935914455096</v>
      </c>
      <c r="BB48" s="142">
        <f t="shared" si="120"/>
        <v>6.2146743524339309E-3</v>
      </c>
      <c r="BC48" s="19">
        <f t="shared" si="78"/>
        <v>20.572591109855406</v>
      </c>
      <c r="BD48" s="79">
        <f t="shared" si="121"/>
        <v>7.5912861195366445E-3</v>
      </c>
      <c r="BE48" s="144">
        <f t="shared" si="122"/>
        <v>2.3029854471395494E-3</v>
      </c>
      <c r="BF48" s="148">
        <f t="shared" si="123"/>
        <v>1.8654182121830346E-3</v>
      </c>
      <c r="BG48" s="144">
        <f t="shared" si="124"/>
        <v>9.3302103059902303E-2</v>
      </c>
      <c r="BH48" s="152">
        <f t="shared" si="125"/>
        <v>1.4859151290111158E-2</v>
      </c>
      <c r="BI48" s="28">
        <f t="shared" si="126"/>
        <v>9.3302103059902303E-2</v>
      </c>
      <c r="BJ48" s="29">
        <f t="shared" si="127"/>
        <v>1.4859151290111158E-2</v>
      </c>
      <c r="BK48" s="28">
        <f t="shared" si="128"/>
        <v>0</v>
      </c>
      <c r="BL48" s="29">
        <f t="shared" si="129"/>
        <v>0</v>
      </c>
      <c r="BM48" s="28">
        <f t="shared" si="130"/>
        <v>0</v>
      </c>
      <c r="BN48" s="29">
        <f t="shared" si="131"/>
        <v>0</v>
      </c>
      <c r="BO48" s="28">
        <f t="shared" si="132"/>
        <v>0</v>
      </c>
      <c r="BP48" s="29">
        <f t="shared" si="133"/>
        <v>0</v>
      </c>
      <c r="BQ48" s="150">
        <f t="shared" si="134"/>
        <v>0</v>
      </c>
      <c r="BR48" s="29">
        <f t="shared" si="135"/>
        <v>0</v>
      </c>
      <c r="BS48" s="91">
        <f t="shared" si="79"/>
        <v>0.22049091235934953</v>
      </c>
      <c r="BT48" s="206">
        <f t="shared" si="80"/>
        <v>0.22049091235934953</v>
      </c>
      <c r="BU48" s="206">
        <f t="shared" si="81"/>
        <v>0.22049091235934953</v>
      </c>
      <c r="BV48" s="97">
        <f t="shared" si="82"/>
        <v>0.22670558671178345</v>
      </c>
      <c r="BW48" s="123">
        <f t="shared" si="83"/>
        <v>0.22808219847888617</v>
      </c>
      <c r="BX48" s="91">
        <f>(M48^2)*'Fly-Buck_Calc'!$B$80</f>
        <v>1.1512672059975913E-3</v>
      </c>
      <c r="BY48" s="92">
        <f t="shared" si="136"/>
        <v>5.0000000000000001E-3</v>
      </c>
      <c r="BZ48" s="92">
        <f t="shared" si="137"/>
        <v>5.0000000000000001E-3</v>
      </c>
      <c r="CA48" s="92">
        <f t="shared" si="138"/>
        <v>0</v>
      </c>
      <c r="CB48" s="92">
        <f t="shared" si="139"/>
        <v>0</v>
      </c>
      <c r="CC48" s="92">
        <f t="shared" si="140"/>
        <v>0</v>
      </c>
      <c r="CD48" s="92">
        <f t="shared" si="141"/>
        <v>0</v>
      </c>
      <c r="CE48" s="127">
        <f t="shared" si="84"/>
        <v>1.1151267205997592E-2</v>
      </c>
      <c r="CF48" s="91">
        <f t="shared" si="85"/>
        <v>4.7695355677043064E-3</v>
      </c>
      <c r="CG48" s="92">
        <f t="shared" si="142"/>
        <v>0.21660000000000001</v>
      </c>
      <c r="CH48" s="206">
        <f t="shared" si="143"/>
        <v>8.333333333333335E-3</v>
      </c>
      <c r="CI48" s="92">
        <f t="shared" si="144"/>
        <v>0.25991999999999998</v>
      </c>
      <c r="CJ48" s="93">
        <f t="shared" si="145"/>
        <v>0.09</v>
      </c>
      <c r="CK48" s="92">
        <f t="shared" si="146"/>
        <v>0.57962286890103765</v>
      </c>
      <c r="CL48" s="188">
        <f t="shared" si="147"/>
        <v>0.15</v>
      </c>
      <c r="CM48" s="206">
        <f t="shared" si="148"/>
        <v>0.15</v>
      </c>
      <c r="CN48" s="206">
        <f t="shared" si="149"/>
        <v>0</v>
      </c>
      <c r="CO48" s="206">
        <f t="shared" si="150"/>
        <v>0</v>
      </c>
      <c r="CP48" s="206">
        <f t="shared" si="151"/>
        <v>0</v>
      </c>
      <c r="CQ48" s="227">
        <f t="shared" si="152"/>
        <v>0</v>
      </c>
      <c r="CR48" s="231">
        <f t="shared" si="86"/>
        <v>0.3</v>
      </c>
      <c r="CS48" s="206">
        <f t="shared" si="153"/>
        <v>0.89077413610703526</v>
      </c>
      <c r="CT48" s="206">
        <f t="shared" si="154"/>
        <v>5.8907741361070354</v>
      </c>
      <c r="CU48" s="206">
        <f t="shared" si="155"/>
        <v>0.84878487690656723</v>
      </c>
      <c r="CV48">
        <f t="shared" si="156"/>
        <v>43.32</v>
      </c>
    </row>
    <row r="49" spans="1:100" x14ac:dyDescent="0.25">
      <c r="A49" s="185" t="s">
        <v>402</v>
      </c>
      <c r="B49" s="12">
        <f>COUT4_FB</f>
        <v>0</v>
      </c>
      <c r="C49" s="12" t="s">
        <v>351</v>
      </c>
      <c r="K49">
        <v>45</v>
      </c>
      <c r="L49" s="91">
        <f t="shared" si="87"/>
        <v>44.1</v>
      </c>
      <c r="M49" s="93">
        <f t="shared" si="88"/>
        <v>0.12597631645250693</v>
      </c>
      <c r="N49" s="122">
        <f t="shared" si="69"/>
        <v>7.7447703982594664E-5</v>
      </c>
      <c r="O49" s="97">
        <f t="shared" si="70"/>
        <v>6.9702933584335196E-5</v>
      </c>
      <c r="P49" s="123">
        <f t="shared" si="71"/>
        <v>6.3366303258486536E-5</v>
      </c>
      <c r="Q49" s="127">
        <f t="shared" si="72"/>
        <v>0.11337868480725623</v>
      </c>
      <c r="R49" s="91">
        <f t="shared" si="73"/>
        <v>1.1111111111111112</v>
      </c>
      <c r="S49" s="92">
        <f t="shared" si="89"/>
        <v>0.35183385523521582</v>
      </c>
      <c r="T49" s="92">
        <f t="shared" si="74"/>
        <v>1.2870280387287192</v>
      </c>
      <c r="U49" s="92">
        <f t="shared" si="90"/>
        <v>1.5157967525998628</v>
      </c>
      <c r="V49" s="93">
        <f t="shared" si="91"/>
        <v>0.37569036825747981</v>
      </c>
      <c r="W49" s="92">
        <f t="shared" si="76"/>
        <v>0.35393957181205188</v>
      </c>
      <c r="X49" s="117">
        <f t="shared" si="92"/>
        <v>0.56393861892583119</v>
      </c>
      <c r="Y49" s="103">
        <f t="shared" si="93"/>
        <v>0.3131308786358275</v>
      </c>
      <c r="Z49" s="103">
        <f t="shared" si="94"/>
        <v>0.53778603035018069</v>
      </c>
      <c r="AA49" s="118">
        <f t="shared" si="95"/>
        <v>0.19802478238797658</v>
      </c>
      <c r="AB49" s="117">
        <f t="shared" si="96"/>
        <v>0.56393861892583119</v>
      </c>
      <c r="AC49" s="103">
        <f t="shared" si="97"/>
        <v>0.3131308786358275</v>
      </c>
      <c r="AD49" s="103">
        <f t="shared" si="98"/>
        <v>0.53778603035018069</v>
      </c>
      <c r="AE49" s="118">
        <f t="shared" si="99"/>
        <v>0.19802478238797658</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21">
        <f t="shared" si="116"/>
        <v>2.8373698002839981E-2</v>
      </c>
      <c r="AW49" s="21">
        <f t="shared" si="77"/>
        <v>0</v>
      </c>
      <c r="AX49" s="139">
        <f t="shared" si="117"/>
        <v>0</v>
      </c>
      <c r="AY49" s="140">
        <v>45</v>
      </c>
      <c r="AZ49" s="141">
        <f t="shared" si="118"/>
        <v>0</v>
      </c>
      <c r="BA49" s="19">
        <f t="shared" si="119"/>
        <v>16.945523014329599</v>
      </c>
      <c r="BB49" s="142">
        <f t="shared" si="120"/>
        <v>6.2528979922876222E-3</v>
      </c>
      <c r="BC49" s="19">
        <f t="shared" si="78"/>
        <v>20.689583043389987</v>
      </c>
      <c r="BD49" s="79">
        <f t="shared" si="121"/>
        <v>7.6344561430109056E-3</v>
      </c>
      <c r="BE49" s="144">
        <f t="shared" si="122"/>
        <v>2.222239744230076E-3</v>
      </c>
      <c r="BF49" s="148">
        <f t="shared" si="123"/>
        <v>1.8000141928263612E-3</v>
      </c>
      <c r="BG49" s="144">
        <f t="shared" si="124"/>
        <v>9.3302103059902303E-2</v>
      </c>
      <c r="BH49" s="152">
        <f t="shared" si="125"/>
        <v>1.4634925424938463E-2</v>
      </c>
      <c r="BI49" s="28">
        <f t="shared" si="126"/>
        <v>9.3302103059902303E-2</v>
      </c>
      <c r="BJ49" s="29">
        <f t="shared" si="127"/>
        <v>1.4634925424938463E-2</v>
      </c>
      <c r="BK49" s="28">
        <f t="shared" si="128"/>
        <v>0</v>
      </c>
      <c r="BL49" s="29">
        <f t="shared" si="129"/>
        <v>0</v>
      </c>
      <c r="BM49" s="28">
        <f t="shared" si="130"/>
        <v>0</v>
      </c>
      <c r="BN49" s="29">
        <f t="shared" si="131"/>
        <v>0</v>
      </c>
      <c r="BO49" s="28">
        <f t="shared" si="132"/>
        <v>0</v>
      </c>
      <c r="BP49" s="29">
        <f t="shared" si="133"/>
        <v>0</v>
      </c>
      <c r="BQ49" s="150">
        <f t="shared" si="134"/>
        <v>0</v>
      </c>
      <c r="BR49" s="29">
        <f t="shared" si="135"/>
        <v>0</v>
      </c>
      <c r="BS49" s="91">
        <f t="shared" si="79"/>
        <v>0.21989631090673797</v>
      </c>
      <c r="BT49" s="206">
        <f t="shared" si="80"/>
        <v>0.21989631090673797</v>
      </c>
      <c r="BU49" s="206">
        <f t="shared" si="81"/>
        <v>0.21989631090673797</v>
      </c>
      <c r="BV49" s="97">
        <f t="shared" si="82"/>
        <v>0.22614920889902559</v>
      </c>
      <c r="BW49" s="123">
        <f t="shared" si="83"/>
        <v>0.22753076704974887</v>
      </c>
      <c r="BX49" s="91">
        <f>(M49^2)*'Fly-Buck_Calc'!$B$80</f>
        <v>1.110902261485952E-3</v>
      </c>
      <c r="BY49" s="92">
        <f t="shared" si="136"/>
        <v>5.0000000000000001E-3</v>
      </c>
      <c r="BZ49" s="92">
        <f t="shared" si="137"/>
        <v>5.0000000000000001E-3</v>
      </c>
      <c r="CA49" s="92">
        <f t="shared" si="138"/>
        <v>0</v>
      </c>
      <c r="CB49" s="92">
        <f t="shared" si="139"/>
        <v>0</v>
      </c>
      <c r="CC49" s="92">
        <f t="shared" si="140"/>
        <v>0</v>
      </c>
      <c r="CD49" s="92">
        <f t="shared" si="141"/>
        <v>0</v>
      </c>
      <c r="CE49" s="127">
        <f t="shared" si="84"/>
        <v>1.1110902261485953E-2</v>
      </c>
      <c r="CF49" s="91">
        <f t="shared" si="85"/>
        <v>4.6023093690132286E-3</v>
      </c>
      <c r="CG49" s="92">
        <f t="shared" si="142"/>
        <v>0.22050000000000006</v>
      </c>
      <c r="CH49" s="206">
        <f t="shared" si="143"/>
        <v>8.333333333333335E-3</v>
      </c>
      <c r="CI49" s="92">
        <f t="shared" si="144"/>
        <v>0.2646</v>
      </c>
      <c r="CJ49" s="93">
        <f t="shared" si="145"/>
        <v>0.09</v>
      </c>
      <c r="CK49" s="92">
        <f t="shared" si="146"/>
        <v>0.58803564270234665</v>
      </c>
      <c r="CL49" s="188">
        <f t="shared" si="147"/>
        <v>0.15</v>
      </c>
      <c r="CM49" s="206">
        <f t="shared" si="148"/>
        <v>0.15</v>
      </c>
      <c r="CN49" s="206">
        <f t="shared" si="149"/>
        <v>0</v>
      </c>
      <c r="CO49" s="206">
        <f t="shared" si="150"/>
        <v>0</v>
      </c>
      <c r="CP49" s="206">
        <f t="shared" si="151"/>
        <v>0</v>
      </c>
      <c r="CQ49" s="227">
        <f t="shared" si="152"/>
        <v>0</v>
      </c>
      <c r="CR49" s="231">
        <f t="shared" si="86"/>
        <v>0.3</v>
      </c>
      <c r="CS49" s="206">
        <f t="shared" si="153"/>
        <v>0.89914654496383251</v>
      </c>
      <c r="CT49" s="206">
        <f t="shared" si="154"/>
        <v>5.8991465449638323</v>
      </c>
      <c r="CU49" s="206">
        <f t="shared" si="155"/>
        <v>0.84758023247762104</v>
      </c>
      <c r="CV49">
        <f t="shared" si="156"/>
        <v>44.1</v>
      </c>
    </row>
    <row r="50" spans="1:100" x14ac:dyDescent="0.25">
      <c r="A50" s="12" t="s">
        <v>403</v>
      </c>
      <c r="B50" s="19">
        <f>IF(AND(Vout5&lt;&gt;0,Iout5&lt;&gt;0),(Iout5*B10)/(Vout5_Ripple*(10^-3)),0)</f>
        <v>0</v>
      </c>
      <c r="C50" s="12" t="s">
        <v>351</v>
      </c>
      <c r="K50">
        <v>46</v>
      </c>
      <c r="L50" s="91">
        <f t="shared" si="87"/>
        <v>44.88</v>
      </c>
      <c r="M50" s="93">
        <f t="shared" si="88"/>
        <v>0.12378688849277084</v>
      </c>
      <c r="N50" s="122">
        <f t="shared" si="69"/>
        <v>7.7619828822196561E-5</v>
      </c>
      <c r="O50" s="97">
        <f t="shared" si="70"/>
        <v>6.98578459399769E-5</v>
      </c>
      <c r="P50" s="123">
        <f t="shared" si="71"/>
        <v>6.3507132672706263E-5</v>
      </c>
      <c r="Q50" s="127">
        <f t="shared" si="72"/>
        <v>0.11140819964349376</v>
      </c>
      <c r="R50" s="91">
        <f t="shared" si="73"/>
        <v>1.1111111111111112</v>
      </c>
      <c r="S50" s="92">
        <f t="shared" si="89"/>
        <v>0.35261579379226443</v>
      </c>
      <c r="T50" s="92">
        <f t="shared" si="74"/>
        <v>1.2874190080072434</v>
      </c>
      <c r="U50" s="92">
        <f t="shared" si="90"/>
        <v>1.5113870203598969</v>
      </c>
      <c r="V50" s="93">
        <f t="shared" si="91"/>
        <v>0.37241823576205413</v>
      </c>
      <c r="W50" s="92">
        <f t="shared" si="76"/>
        <v>0.35124371676287575</v>
      </c>
      <c r="X50" s="117">
        <f t="shared" si="92"/>
        <v>0.56268806419257777</v>
      </c>
      <c r="Y50" s="103">
        <f t="shared" si="93"/>
        <v>0.31382680116791056</v>
      </c>
      <c r="Z50" s="103">
        <f t="shared" si="94"/>
        <v>0.53724942669709563</v>
      </c>
      <c r="AA50" s="118">
        <f t="shared" si="95"/>
        <v>0.19656283088711854</v>
      </c>
      <c r="AB50" s="117">
        <f t="shared" si="96"/>
        <v>0.56268806419257777</v>
      </c>
      <c r="AC50" s="103">
        <f t="shared" si="97"/>
        <v>0.31382680116791056</v>
      </c>
      <c r="AD50" s="103">
        <f t="shared" si="98"/>
        <v>0.53724942669709563</v>
      </c>
      <c r="AE50" s="118">
        <f t="shared" si="99"/>
        <v>0.19656283088711854</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21">
        <f t="shared" si="116"/>
        <v>2.8436757563892291E-2</v>
      </c>
      <c r="AW50" s="21">
        <f t="shared" si="77"/>
        <v>0</v>
      </c>
      <c r="AX50" s="139">
        <f t="shared" si="117"/>
        <v>0</v>
      </c>
      <c r="AY50" s="140">
        <v>46</v>
      </c>
      <c r="AZ50" s="141">
        <f t="shared" si="118"/>
        <v>0</v>
      </c>
      <c r="BA50" s="19">
        <f t="shared" si="119"/>
        <v>17.045885726321643</v>
      </c>
      <c r="BB50" s="142">
        <f t="shared" si="120"/>
        <v>6.2899318330126869E-3</v>
      </c>
      <c r="BC50" s="19">
        <f t="shared" si="78"/>
        <v>20.80288205334195</v>
      </c>
      <c r="BD50" s="79">
        <f t="shared" si="121"/>
        <v>7.6762634776831795E-3</v>
      </c>
      <c r="BE50" s="144">
        <f t="shared" si="122"/>
        <v>2.1456673514875543E-3</v>
      </c>
      <c r="BF50" s="148">
        <f t="shared" si="123"/>
        <v>1.7379905547049192E-3</v>
      </c>
      <c r="BG50" s="144">
        <f t="shared" si="124"/>
        <v>9.3302103059902303E-2</v>
      </c>
      <c r="BH50" s="152">
        <f t="shared" si="125"/>
        <v>1.4419633451960403E-2</v>
      </c>
      <c r="BI50" s="28">
        <f t="shared" si="126"/>
        <v>9.3302103059902303E-2</v>
      </c>
      <c r="BJ50" s="29">
        <f t="shared" si="127"/>
        <v>1.4419633451960403E-2</v>
      </c>
      <c r="BK50" s="28">
        <f t="shared" si="128"/>
        <v>0</v>
      </c>
      <c r="BL50" s="29">
        <f t="shared" si="129"/>
        <v>0</v>
      </c>
      <c r="BM50" s="28">
        <f t="shared" si="130"/>
        <v>0</v>
      </c>
      <c r="BN50" s="29">
        <f t="shared" si="131"/>
        <v>0</v>
      </c>
      <c r="BO50" s="28">
        <f t="shared" si="132"/>
        <v>0</v>
      </c>
      <c r="BP50" s="29">
        <f t="shared" si="133"/>
        <v>0</v>
      </c>
      <c r="BQ50" s="150">
        <f t="shared" si="134"/>
        <v>0</v>
      </c>
      <c r="BR50" s="29">
        <f t="shared" si="135"/>
        <v>0</v>
      </c>
      <c r="BS50" s="91">
        <f t="shared" si="79"/>
        <v>0.21932713092991787</v>
      </c>
      <c r="BT50" s="206">
        <f t="shared" si="80"/>
        <v>0.21932713092991787</v>
      </c>
      <c r="BU50" s="206">
        <f t="shared" si="81"/>
        <v>0.21932713092991787</v>
      </c>
      <c r="BV50" s="97">
        <f t="shared" si="82"/>
        <v>0.22561706276293056</v>
      </c>
      <c r="BW50" s="123">
        <f t="shared" si="83"/>
        <v>0.22700339440760106</v>
      </c>
      <c r="BX50" s="91">
        <f>(M50^2)*'Fly-Buck_Calc'!$B$80</f>
        <v>1.0726235633905178E-3</v>
      </c>
      <c r="BY50" s="92">
        <f t="shared" si="136"/>
        <v>5.0000000000000001E-3</v>
      </c>
      <c r="BZ50" s="92">
        <f t="shared" si="137"/>
        <v>5.0000000000000001E-3</v>
      </c>
      <c r="CA50" s="92">
        <f t="shared" si="138"/>
        <v>0</v>
      </c>
      <c r="CB50" s="92">
        <f t="shared" si="139"/>
        <v>0</v>
      </c>
      <c r="CC50" s="92">
        <f t="shared" si="140"/>
        <v>0</v>
      </c>
      <c r="CD50" s="92">
        <f t="shared" si="141"/>
        <v>0</v>
      </c>
      <c r="CE50" s="127">
        <f t="shared" si="84"/>
        <v>1.1072623563390518E-2</v>
      </c>
      <c r="CF50" s="91">
        <f t="shared" si="85"/>
        <v>4.4437261911892878E-3</v>
      </c>
      <c r="CG50" s="92">
        <f t="shared" si="142"/>
        <v>0.22440000000000004</v>
      </c>
      <c r="CH50" s="206">
        <f t="shared" si="143"/>
        <v>8.333333333333335E-3</v>
      </c>
      <c r="CI50" s="92">
        <f t="shared" si="144"/>
        <v>0.26928000000000002</v>
      </c>
      <c r="CJ50" s="93">
        <f t="shared" si="145"/>
        <v>0.09</v>
      </c>
      <c r="CK50" s="92">
        <f t="shared" si="146"/>
        <v>0.59645705952452266</v>
      </c>
      <c r="CL50" s="188">
        <f t="shared" si="147"/>
        <v>0.15</v>
      </c>
      <c r="CM50" s="206">
        <f t="shared" si="148"/>
        <v>0.15</v>
      </c>
      <c r="CN50" s="206">
        <f t="shared" si="149"/>
        <v>0</v>
      </c>
      <c r="CO50" s="206">
        <f t="shared" si="150"/>
        <v>0</v>
      </c>
      <c r="CP50" s="206">
        <f t="shared" si="151"/>
        <v>0</v>
      </c>
      <c r="CQ50" s="227">
        <f t="shared" si="152"/>
        <v>0</v>
      </c>
      <c r="CR50" s="231">
        <f t="shared" si="86"/>
        <v>0.3</v>
      </c>
      <c r="CS50" s="206">
        <f t="shared" si="153"/>
        <v>0.90752968308791326</v>
      </c>
      <c r="CT50" s="206">
        <f t="shared" si="154"/>
        <v>5.9075296830879136</v>
      </c>
      <c r="CU50" s="206">
        <f t="shared" si="155"/>
        <v>0.84637746540893544</v>
      </c>
      <c r="CV50">
        <f t="shared" si="156"/>
        <v>44.88</v>
      </c>
    </row>
    <row r="51" spans="1:100" x14ac:dyDescent="0.25">
      <c r="A51" s="185" t="s">
        <v>404</v>
      </c>
      <c r="B51" s="12">
        <f>COUT5_FB</f>
        <v>0</v>
      </c>
      <c r="C51" s="12" t="s">
        <v>351</v>
      </c>
      <c r="K51">
        <v>47</v>
      </c>
      <c r="L51" s="91">
        <f t="shared" si="87"/>
        <v>45.660000000000004</v>
      </c>
      <c r="M51" s="93">
        <f t="shared" si="88"/>
        <v>0.12167226359079183</v>
      </c>
      <c r="N51" s="122">
        <f t="shared" si="69"/>
        <v>7.7786072918264082E-5</v>
      </c>
      <c r="O51" s="97">
        <f t="shared" si="70"/>
        <v>7.0007465626437685E-5</v>
      </c>
      <c r="P51" s="123">
        <f t="shared" si="71"/>
        <v>6.3643150569488789E-5</v>
      </c>
      <c r="Q51" s="127">
        <f t="shared" si="72"/>
        <v>0.10950503723171265</v>
      </c>
      <c r="R51" s="91">
        <f t="shared" si="73"/>
        <v>1.1111111111111112</v>
      </c>
      <c r="S51" s="92">
        <f t="shared" si="89"/>
        <v>0.35337101697154261</v>
      </c>
      <c r="T51" s="92">
        <f t="shared" si="74"/>
        <v>1.2877966195968824</v>
      </c>
      <c r="U51" s="92">
        <f t="shared" si="90"/>
        <v>1.5071047152188484</v>
      </c>
      <c r="V51" s="93">
        <f t="shared" si="91"/>
        <v>0.36923015176443519</v>
      </c>
      <c r="W51" s="92">
        <f t="shared" si="76"/>
        <v>0.34860689213594259</v>
      </c>
      <c r="X51" s="117">
        <f t="shared" si="92"/>
        <v>0.56148548942449583</v>
      </c>
      <c r="Y51" s="103">
        <f t="shared" si="93"/>
        <v>0.31449894710888443</v>
      </c>
      <c r="Z51" s="103">
        <f t="shared" si="94"/>
        <v>0.53673328464830805</v>
      </c>
      <c r="AA51" s="118">
        <f t="shared" si="95"/>
        <v>0.19514768471432514</v>
      </c>
      <c r="AB51" s="117">
        <f t="shared" si="96"/>
        <v>0.56148548942449583</v>
      </c>
      <c r="AC51" s="103">
        <f t="shared" si="97"/>
        <v>0.31449894710888443</v>
      </c>
      <c r="AD51" s="103">
        <f t="shared" si="98"/>
        <v>0.53673328464830805</v>
      </c>
      <c r="AE51" s="118">
        <f t="shared" si="99"/>
        <v>0.19514768471432514</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21">
        <f t="shared" si="116"/>
        <v>2.8497662658995369E-2</v>
      </c>
      <c r="AW51" s="21">
        <f t="shared" si="77"/>
        <v>0</v>
      </c>
      <c r="AX51" s="139">
        <f t="shared" si="117"/>
        <v>0</v>
      </c>
      <c r="AY51" s="140">
        <v>47</v>
      </c>
      <c r="AZ51" s="141">
        <f t="shared" si="118"/>
        <v>0</v>
      </c>
      <c r="BA51" s="19">
        <f t="shared" si="119"/>
        <v>17.143170857838076</v>
      </c>
      <c r="BB51" s="142">
        <f t="shared" si="120"/>
        <v>6.3258300465422503E-3</v>
      </c>
      <c r="BC51" s="19">
        <f t="shared" si="78"/>
        <v>20.912658930839651</v>
      </c>
      <c r="BD51" s="79">
        <f t="shared" si="121"/>
        <v>7.7167711454798312E-3</v>
      </c>
      <c r="BE51" s="144">
        <f t="shared" si="122"/>
        <v>2.0729855519428454E-3</v>
      </c>
      <c r="BF51" s="148">
        <f t="shared" si="123"/>
        <v>1.6791182970737047E-3</v>
      </c>
      <c r="BG51" s="144">
        <f t="shared" si="124"/>
        <v>9.3302103059902303E-2</v>
      </c>
      <c r="BH51" s="152">
        <f t="shared" si="125"/>
        <v>1.4212753714696474E-2</v>
      </c>
      <c r="BI51" s="28">
        <f t="shared" si="126"/>
        <v>9.3302103059902303E-2</v>
      </c>
      <c r="BJ51" s="29">
        <f t="shared" si="127"/>
        <v>1.4212753714696474E-2</v>
      </c>
      <c r="BK51" s="28">
        <f t="shared" si="128"/>
        <v>0</v>
      </c>
      <c r="BL51" s="29">
        <f t="shared" si="129"/>
        <v>0</v>
      </c>
      <c r="BM51" s="28">
        <f t="shared" si="130"/>
        <v>0</v>
      </c>
      <c r="BN51" s="29">
        <f t="shared" si="131"/>
        <v>0</v>
      </c>
      <c r="BO51" s="28">
        <f t="shared" si="132"/>
        <v>0</v>
      </c>
      <c r="BP51" s="29">
        <f t="shared" si="133"/>
        <v>0</v>
      </c>
      <c r="BQ51" s="150">
        <f t="shared" si="134"/>
        <v>0</v>
      </c>
      <c r="BR51" s="29">
        <f t="shared" si="135"/>
        <v>0</v>
      </c>
      <c r="BS51" s="91">
        <f t="shared" si="79"/>
        <v>0.21878181739821409</v>
      </c>
      <c r="BT51" s="206">
        <f t="shared" si="80"/>
        <v>0.21878181739821409</v>
      </c>
      <c r="BU51" s="206">
        <f t="shared" si="81"/>
        <v>0.21878181739821409</v>
      </c>
      <c r="BV51" s="97">
        <f t="shared" si="82"/>
        <v>0.22510764744475634</v>
      </c>
      <c r="BW51" s="123">
        <f t="shared" si="83"/>
        <v>0.22649858854369392</v>
      </c>
      <c r="BX51" s="91">
        <f>(M51^2)*'Fly-Buck_Calc'!$B$80</f>
        <v>1.036289780911499E-3</v>
      </c>
      <c r="BY51" s="92">
        <f t="shared" si="136"/>
        <v>5.0000000000000001E-3</v>
      </c>
      <c r="BZ51" s="92">
        <f t="shared" si="137"/>
        <v>5.0000000000000001E-3</v>
      </c>
      <c r="CA51" s="92">
        <f t="shared" si="138"/>
        <v>0</v>
      </c>
      <c r="CB51" s="92">
        <f t="shared" si="139"/>
        <v>0</v>
      </c>
      <c r="CC51" s="92">
        <f t="shared" si="140"/>
        <v>0</v>
      </c>
      <c r="CD51" s="92">
        <f t="shared" si="141"/>
        <v>0</v>
      </c>
      <c r="CE51" s="127">
        <f t="shared" si="84"/>
        <v>1.10362897809115E-2</v>
      </c>
      <c r="CF51" s="91">
        <f t="shared" si="85"/>
        <v>4.2932005209190671E-3</v>
      </c>
      <c r="CG51" s="92">
        <f t="shared" si="142"/>
        <v>0.22830000000000006</v>
      </c>
      <c r="CH51" s="206">
        <f t="shared" si="143"/>
        <v>8.333333333333335E-3</v>
      </c>
      <c r="CI51" s="92">
        <f t="shared" si="144"/>
        <v>0.27396000000000004</v>
      </c>
      <c r="CJ51" s="93">
        <f t="shared" si="145"/>
        <v>0.09</v>
      </c>
      <c r="CK51" s="92">
        <f t="shared" si="146"/>
        <v>0.60488653385425251</v>
      </c>
      <c r="CL51" s="188">
        <f t="shared" si="147"/>
        <v>0.15</v>
      </c>
      <c r="CM51" s="206">
        <f t="shared" si="148"/>
        <v>0.15</v>
      </c>
      <c r="CN51" s="206">
        <f t="shared" si="149"/>
        <v>0</v>
      </c>
      <c r="CO51" s="206">
        <f t="shared" si="150"/>
        <v>0</v>
      </c>
      <c r="CP51" s="206">
        <f t="shared" si="151"/>
        <v>0</v>
      </c>
      <c r="CQ51" s="227">
        <f t="shared" si="152"/>
        <v>0</v>
      </c>
      <c r="CR51" s="231">
        <f t="shared" si="86"/>
        <v>0.3</v>
      </c>
      <c r="CS51" s="206">
        <f t="shared" si="153"/>
        <v>0.91592282363516397</v>
      </c>
      <c r="CT51" s="206">
        <f t="shared" si="154"/>
        <v>5.9159228236351638</v>
      </c>
      <c r="CU51" s="206">
        <f t="shared" si="155"/>
        <v>0.84517667810406705</v>
      </c>
      <c r="CV51">
        <f t="shared" si="156"/>
        <v>45.660000000000004</v>
      </c>
    </row>
    <row r="52" spans="1:100" x14ac:dyDescent="0.25">
      <c r="A52" s="12" t="s">
        <v>405</v>
      </c>
      <c r="B52" s="19">
        <f>IF(AND(Vout6&lt;&gt;0,Iout1&lt;&gt;0),(Iout6*B10)/(Vout6_Ripple*(10^-3)),0)</f>
        <v>0</v>
      </c>
      <c r="C52" s="12" t="s">
        <v>351</v>
      </c>
      <c r="K52">
        <v>48</v>
      </c>
      <c r="L52" s="91">
        <f t="shared" si="87"/>
        <v>46.44</v>
      </c>
      <c r="M52" s="93">
        <f t="shared" si="88"/>
        <v>0.11962867260024883</v>
      </c>
      <c r="N52" s="122">
        <f t="shared" si="69"/>
        <v>7.7946732587331932E-5</v>
      </c>
      <c r="O52" s="97">
        <f t="shared" si="70"/>
        <v>7.0152059328598744E-5</v>
      </c>
      <c r="P52" s="123">
        <f t="shared" si="71"/>
        <v>6.3774599389635205E-5</v>
      </c>
      <c r="Q52" s="127">
        <f t="shared" si="72"/>
        <v>0.10766580534022395</v>
      </c>
      <c r="R52" s="91">
        <f t="shared" si="73"/>
        <v>1.1111111111111112</v>
      </c>
      <c r="S52" s="92">
        <f t="shared" si="89"/>
        <v>0.35410087089673653</v>
      </c>
      <c r="T52" s="92">
        <f t="shared" si="74"/>
        <v>1.2881615465594793</v>
      </c>
      <c r="U52" s="92">
        <f t="shared" si="90"/>
        <v>1.5029438716793209</v>
      </c>
      <c r="V52" s="93">
        <f t="shared" si="91"/>
        <v>0.36612257809441695</v>
      </c>
      <c r="W52" s="92">
        <f t="shared" si="76"/>
        <v>0.34602705513067172</v>
      </c>
      <c r="X52" s="117">
        <f t="shared" si="92"/>
        <v>0.56032818532818529</v>
      </c>
      <c r="Y52" s="103">
        <f t="shared" si="93"/>
        <v>0.31514851450403747</v>
      </c>
      <c r="Z52" s="103">
        <f t="shared" si="94"/>
        <v>0.5362364592381621</v>
      </c>
      <c r="AA52" s="118">
        <f t="shared" si="95"/>
        <v>0.19377703738131899</v>
      </c>
      <c r="AB52" s="117">
        <f t="shared" si="96"/>
        <v>0.56032818532818529</v>
      </c>
      <c r="AC52" s="103">
        <f t="shared" si="97"/>
        <v>0.31514851450403747</v>
      </c>
      <c r="AD52" s="103">
        <f t="shared" si="98"/>
        <v>0.5362364592381621</v>
      </c>
      <c r="AE52" s="118">
        <f t="shared" si="99"/>
        <v>0.19377703738131899</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21">
        <f t="shared" si="116"/>
        <v>2.8556521846511012E-2</v>
      </c>
      <c r="AW52" s="21">
        <f t="shared" si="77"/>
        <v>0</v>
      </c>
      <c r="AX52" s="139">
        <f t="shared" si="117"/>
        <v>0</v>
      </c>
      <c r="AY52" s="140">
        <v>48</v>
      </c>
      <c r="AZ52" s="141">
        <f t="shared" si="118"/>
        <v>0</v>
      </c>
      <c r="BA52" s="19">
        <f t="shared" si="119"/>
        <v>17.237516537347673</v>
      </c>
      <c r="BB52" s="142">
        <f t="shared" si="120"/>
        <v>6.3606436022812908E-3</v>
      </c>
      <c r="BC52" s="19">
        <f t="shared" si="78"/>
        <v>21.019074188873702</v>
      </c>
      <c r="BD52" s="79">
        <f t="shared" si="121"/>
        <v>7.7560383756943956E-3</v>
      </c>
      <c r="BE52" s="144">
        <f t="shared" si="122"/>
        <v>2.0039351698727587E-3</v>
      </c>
      <c r="BF52" s="148">
        <f t="shared" si="123"/>
        <v>1.6231874875969345E-3</v>
      </c>
      <c r="BG52" s="144">
        <f t="shared" si="124"/>
        <v>9.3302103059902303E-2</v>
      </c>
      <c r="BH52" s="152">
        <f t="shared" si="125"/>
        <v>1.4013804284445621E-2</v>
      </c>
      <c r="BI52" s="28">
        <f t="shared" si="126"/>
        <v>9.3302103059902303E-2</v>
      </c>
      <c r="BJ52" s="29">
        <f t="shared" si="127"/>
        <v>1.4013804284445621E-2</v>
      </c>
      <c r="BK52" s="28">
        <f t="shared" si="128"/>
        <v>0</v>
      </c>
      <c r="BL52" s="29">
        <f t="shared" si="129"/>
        <v>0</v>
      </c>
      <c r="BM52" s="28">
        <f t="shared" si="130"/>
        <v>0</v>
      </c>
      <c r="BN52" s="29">
        <f t="shared" si="131"/>
        <v>0</v>
      </c>
      <c r="BO52" s="28">
        <f t="shared" si="132"/>
        <v>0</v>
      </c>
      <c r="BP52" s="29">
        <f t="shared" si="133"/>
        <v>0</v>
      </c>
      <c r="BQ52" s="150">
        <f t="shared" si="134"/>
        <v>0</v>
      </c>
      <c r="BR52" s="29">
        <f t="shared" si="135"/>
        <v>0</v>
      </c>
      <c r="BS52" s="91">
        <f t="shared" si="79"/>
        <v>0.21825893734616555</v>
      </c>
      <c r="BT52" s="206">
        <f t="shared" si="80"/>
        <v>0.21825893734616555</v>
      </c>
      <c r="BU52" s="206">
        <f t="shared" si="81"/>
        <v>0.21825893734616555</v>
      </c>
      <c r="BV52" s="97">
        <f t="shared" si="82"/>
        <v>0.22461958094844683</v>
      </c>
      <c r="BW52" s="123">
        <f t="shared" si="83"/>
        <v>0.22601497572185994</v>
      </c>
      <c r="BX52" s="91">
        <f>(M52^2)*'Fly-Buck_Calc'!$B$80</f>
        <v>1.0017713515668269E-3</v>
      </c>
      <c r="BY52" s="92">
        <f t="shared" si="136"/>
        <v>5.0000000000000001E-3</v>
      </c>
      <c r="BZ52" s="92">
        <f t="shared" si="137"/>
        <v>5.0000000000000001E-3</v>
      </c>
      <c r="CA52" s="92">
        <f t="shared" si="138"/>
        <v>0</v>
      </c>
      <c r="CB52" s="92">
        <f t="shared" si="139"/>
        <v>0</v>
      </c>
      <c r="CC52" s="92">
        <f t="shared" si="140"/>
        <v>0</v>
      </c>
      <c r="CD52" s="92">
        <f t="shared" si="141"/>
        <v>0</v>
      </c>
      <c r="CE52" s="127">
        <f t="shared" si="84"/>
        <v>1.1001771351566828E-2</v>
      </c>
      <c r="CF52" s="91">
        <f t="shared" si="85"/>
        <v>4.1501955993482817E-3</v>
      </c>
      <c r="CG52" s="92">
        <f t="shared" si="142"/>
        <v>0.23220000000000002</v>
      </c>
      <c r="CH52" s="206">
        <f t="shared" si="143"/>
        <v>8.333333333333335E-3</v>
      </c>
      <c r="CI52" s="92">
        <f t="shared" si="144"/>
        <v>0.27864</v>
      </c>
      <c r="CJ52" s="93">
        <f t="shared" si="145"/>
        <v>0.09</v>
      </c>
      <c r="CK52" s="92">
        <f t="shared" si="146"/>
        <v>0.61332352893268161</v>
      </c>
      <c r="CL52" s="188">
        <f t="shared" si="147"/>
        <v>0.15</v>
      </c>
      <c r="CM52" s="206">
        <f t="shared" si="148"/>
        <v>0.15</v>
      </c>
      <c r="CN52" s="206">
        <f t="shared" si="149"/>
        <v>0</v>
      </c>
      <c r="CO52" s="206">
        <f t="shared" si="150"/>
        <v>0</v>
      </c>
      <c r="CP52" s="206">
        <f t="shared" si="151"/>
        <v>0</v>
      </c>
      <c r="CQ52" s="227">
        <f t="shared" si="152"/>
        <v>0</v>
      </c>
      <c r="CR52" s="231">
        <f t="shared" si="86"/>
        <v>0.3</v>
      </c>
      <c r="CS52" s="206">
        <f t="shared" si="153"/>
        <v>0.92432530028424842</v>
      </c>
      <c r="CT52" s="206">
        <f t="shared" si="154"/>
        <v>5.9243253002842486</v>
      </c>
      <c r="CU52" s="206">
        <f t="shared" si="155"/>
        <v>0.84397796315474105</v>
      </c>
      <c r="CV52">
        <f t="shared" si="156"/>
        <v>46.44</v>
      </c>
    </row>
    <row r="53" spans="1:100" x14ac:dyDescent="0.25">
      <c r="A53" s="185" t="s">
        <v>406</v>
      </c>
      <c r="B53" s="12">
        <f>COUT6_FB</f>
        <v>0</v>
      </c>
      <c r="C53" s="12" t="s">
        <v>351</v>
      </c>
      <c r="K53">
        <v>49</v>
      </c>
      <c r="L53" s="91">
        <f t="shared" si="87"/>
        <v>47.22</v>
      </c>
      <c r="M53" s="93">
        <f t="shared" si="88"/>
        <v>0.11765259541625489</v>
      </c>
      <c r="N53" s="122">
        <f t="shared" si="69"/>
        <v>7.8102084567205674E-5</v>
      </c>
      <c r="O53" s="97">
        <f t="shared" si="70"/>
        <v>7.0291876110485112E-5</v>
      </c>
      <c r="P53" s="123">
        <f t="shared" si="71"/>
        <v>6.3901705554986448E-5</v>
      </c>
      <c r="Q53" s="127">
        <f t="shared" si="72"/>
        <v>0.1058873358746294</v>
      </c>
      <c r="R53" s="91">
        <f t="shared" si="73"/>
        <v>1.1111111111111112</v>
      </c>
      <c r="S53" s="92">
        <f t="shared" si="89"/>
        <v>0.354806612748163</v>
      </c>
      <c r="T53" s="92">
        <f t="shared" si="74"/>
        <v>1.2885144174851926</v>
      </c>
      <c r="U53" s="92">
        <f t="shared" si="90"/>
        <v>1.4988989067141967</v>
      </c>
      <c r="V53" s="93">
        <f t="shared" si="91"/>
        <v>0.36309218168682061</v>
      </c>
      <c r="W53" s="92">
        <f t="shared" si="76"/>
        <v>0.34350225500557369</v>
      </c>
      <c r="X53" s="117">
        <f t="shared" si="92"/>
        <v>0.55921364282330654</v>
      </c>
      <c r="Y53" s="103">
        <f t="shared" si="93"/>
        <v>0.31577662223937608</v>
      </c>
      <c r="Z53" s="103">
        <f t="shared" si="94"/>
        <v>0.53575788916385669</v>
      </c>
      <c r="AA53" s="118">
        <f t="shared" si="95"/>
        <v>0.19244873551497121</v>
      </c>
      <c r="AB53" s="117">
        <f t="shared" si="96"/>
        <v>0.55921364282330654</v>
      </c>
      <c r="AC53" s="103">
        <f t="shared" si="97"/>
        <v>0.31577662223937608</v>
      </c>
      <c r="AD53" s="103">
        <f t="shared" si="98"/>
        <v>0.53575788916385669</v>
      </c>
      <c r="AE53" s="118">
        <f t="shared" si="99"/>
        <v>0.19244873551497121</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21">
        <f t="shared" si="116"/>
        <v>2.8613436511948625E-2</v>
      </c>
      <c r="AW53" s="21">
        <f t="shared" si="77"/>
        <v>0</v>
      </c>
      <c r="AX53" s="139">
        <f t="shared" si="117"/>
        <v>0</v>
      </c>
      <c r="AY53" s="140">
        <v>49</v>
      </c>
      <c r="AZ53" s="141">
        <f t="shared" si="118"/>
        <v>0</v>
      </c>
      <c r="BA53" s="19">
        <f t="shared" si="119"/>
        <v>17.329052837737912</v>
      </c>
      <c r="BB53" s="142">
        <f t="shared" si="120"/>
        <v>6.3944204971252893E-3</v>
      </c>
      <c r="BC53" s="19">
        <f t="shared" si="78"/>
        <v>21.122278815934681</v>
      </c>
      <c r="BD53" s="79">
        <f t="shared" si="121"/>
        <v>7.7941208830798973E-3</v>
      </c>
      <c r="BE53" s="144">
        <f t="shared" si="122"/>
        <v>1.9382782571079483E-3</v>
      </c>
      <c r="BF53" s="148">
        <f t="shared" si="123"/>
        <v>1.5700053882574381E-3</v>
      </c>
      <c r="BG53" s="144">
        <f t="shared" si="124"/>
        <v>9.3302103059902303E-2</v>
      </c>
      <c r="BH53" s="152">
        <f t="shared" si="125"/>
        <v>1.3822339257094604E-2</v>
      </c>
      <c r="BI53" s="28">
        <f t="shared" si="126"/>
        <v>9.3302103059902303E-2</v>
      </c>
      <c r="BJ53" s="29">
        <f t="shared" si="127"/>
        <v>1.3822339257094604E-2</v>
      </c>
      <c r="BK53" s="28">
        <f t="shared" si="128"/>
        <v>0</v>
      </c>
      <c r="BL53" s="29">
        <f t="shared" si="129"/>
        <v>0</v>
      </c>
      <c r="BM53" s="28">
        <f t="shared" si="130"/>
        <v>0</v>
      </c>
      <c r="BN53" s="29">
        <f t="shared" si="131"/>
        <v>0</v>
      </c>
      <c r="BO53" s="28">
        <f t="shared" si="132"/>
        <v>0</v>
      </c>
      <c r="BP53" s="29">
        <f t="shared" si="133"/>
        <v>0</v>
      </c>
      <c r="BQ53" s="150">
        <f t="shared" si="134"/>
        <v>0</v>
      </c>
      <c r="BR53" s="29">
        <f t="shared" si="135"/>
        <v>0</v>
      </c>
      <c r="BS53" s="91">
        <f t="shared" si="79"/>
        <v>0.2177571682793592</v>
      </c>
      <c r="BT53" s="206">
        <f t="shared" si="80"/>
        <v>0.2177571682793592</v>
      </c>
      <c r="BU53" s="206">
        <f t="shared" si="81"/>
        <v>0.2177571682793592</v>
      </c>
      <c r="BV53" s="97">
        <f t="shared" si="82"/>
        <v>0.2241515887764845</v>
      </c>
      <c r="BW53" s="123">
        <f t="shared" si="83"/>
        <v>0.22555128916243911</v>
      </c>
      <c r="BX53" s="91">
        <f>(M53^2)*'Fly-Buck_Calc'!$B$80</f>
        <v>9.6894932457266744E-4</v>
      </c>
      <c r="BY53" s="92">
        <f t="shared" si="136"/>
        <v>5.0000000000000001E-3</v>
      </c>
      <c r="BZ53" s="92">
        <f t="shared" si="137"/>
        <v>5.0000000000000001E-3</v>
      </c>
      <c r="CA53" s="92">
        <f t="shared" si="138"/>
        <v>0</v>
      </c>
      <c r="CB53" s="92">
        <f t="shared" si="139"/>
        <v>0</v>
      </c>
      <c r="CC53" s="92">
        <f t="shared" si="140"/>
        <v>0</v>
      </c>
      <c r="CD53" s="92">
        <f t="shared" si="141"/>
        <v>0</v>
      </c>
      <c r="CE53" s="127">
        <f t="shared" si="84"/>
        <v>1.0968949324572668E-2</v>
      </c>
      <c r="CF53" s="91">
        <f t="shared" si="85"/>
        <v>4.014218630372479E-3</v>
      </c>
      <c r="CG53" s="92">
        <f t="shared" si="142"/>
        <v>0.23610000000000003</v>
      </c>
      <c r="CH53" s="206">
        <f t="shared" si="143"/>
        <v>8.333333333333335E-3</v>
      </c>
      <c r="CI53" s="92">
        <f t="shared" si="144"/>
        <v>0.28332000000000002</v>
      </c>
      <c r="CJ53" s="93">
        <f t="shared" si="145"/>
        <v>0.09</v>
      </c>
      <c r="CK53" s="92">
        <f t="shared" si="146"/>
        <v>0.62176755196370581</v>
      </c>
      <c r="CL53" s="188">
        <f t="shared" si="147"/>
        <v>0.15</v>
      </c>
      <c r="CM53" s="206">
        <f t="shared" si="148"/>
        <v>0.15</v>
      </c>
      <c r="CN53" s="206">
        <f t="shared" si="149"/>
        <v>0</v>
      </c>
      <c r="CO53" s="206">
        <f t="shared" si="150"/>
        <v>0</v>
      </c>
      <c r="CP53" s="206">
        <f t="shared" si="151"/>
        <v>0</v>
      </c>
      <c r="CQ53" s="227">
        <f t="shared" si="152"/>
        <v>0</v>
      </c>
      <c r="CR53" s="231">
        <f t="shared" si="86"/>
        <v>0.3</v>
      </c>
      <c r="CS53" s="206">
        <f t="shared" si="153"/>
        <v>0.93273650128827856</v>
      </c>
      <c r="CT53" s="206">
        <f t="shared" si="154"/>
        <v>5.9327365012882787</v>
      </c>
      <c r="CU53" s="206">
        <f t="shared" si="155"/>
        <v>0.84278140431725945</v>
      </c>
      <c r="CV53">
        <f t="shared" si="156"/>
        <v>47.22</v>
      </c>
    </row>
    <row r="54" spans="1:100" ht="15.75" thickBot="1" x14ac:dyDescent="0.3">
      <c r="A54" s="310" t="s">
        <v>432</v>
      </c>
      <c r="B54" s="310"/>
      <c r="C54" s="310"/>
      <c r="K54">
        <v>50</v>
      </c>
      <c r="L54" s="104">
        <f t="shared" si="87"/>
        <v>48</v>
      </c>
      <c r="M54" s="93">
        <f t="shared" si="88"/>
        <v>0.11574074074074073</v>
      </c>
      <c r="N54" s="122">
        <f t="shared" si="69"/>
        <v>7.8252387607733516E-5</v>
      </c>
      <c r="O54" s="97">
        <f t="shared" si="70"/>
        <v>7.042714884696017E-5</v>
      </c>
      <c r="P54" s="123">
        <f t="shared" si="71"/>
        <v>6.402468076996378E-5</v>
      </c>
      <c r="Q54" s="127">
        <f t="shared" si="72"/>
        <v>0.10416666666666667</v>
      </c>
      <c r="R54" s="91">
        <f t="shared" si="73"/>
        <v>1.1111111111111109</v>
      </c>
      <c r="S54" s="106">
        <f t="shared" si="89"/>
        <v>0.35548941798941802</v>
      </c>
      <c r="T54" s="106">
        <f t="shared" si="74"/>
        <v>1.28885582010582</v>
      </c>
      <c r="U54" s="106">
        <f t="shared" si="90"/>
        <v>1.4949645888459511</v>
      </c>
      <c r="V54" s="108">
        <f t="shared" si="91"/>
        <v>0.36013581954124324</v>
      </c>
      <c r="W54" s="92">
        <f t="shared" si="76"/>
        <v>0.34103062831573877</v>
      </c>
      <c r="X54" s="119">
        <f t="shared" si="92"/>
        <v>0.55813953488372092</v>
      </c>
      <c r="Y54" s="120">
        <f t="shared" si="93"/>
        <v>0.31638431647331611</v>
      </c>
      <c r="Z54" s="120">
        <f t="shared" si="94"/>
        <v>0.5352965892946735</v>
      </c>
      <c r="AA54" s="121">
        <f t="shared" si="95"/>
        <v>0.19116076613811309</v>
      </c>
      <c r="AB54" s="119">
        <f t="shared" si="96"/>
        <v>0.55813953488372092</v>
      </c>
      <c r="AC54" s="120">
        <f t="shared" si="97"/>
        <v>0.31638431647331611</v>
      </c>
      <c r="AD54" s="120">
        <f t="shared" si="98"/>
        <v>0.5352965892946735</v>
      </c>
      <c r="AE54" s="121">
        <f t="shared" si="99"/>
        <v>0.19116076613811309</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21">
        <f t="shared" si="116"/>
        <v>2.8668501450759516E-2</v>
      </c>
      <c r="AW54" s="21">
        <f t="shared" si="77"/>
        <v>0</v>
      </c>
      <c r="AX54" s="139">
        <f t="shared" si="117"/>
        <v>0</v>
      </c>
      <c r="AY54" s="140">
        <v>50</v>
      </c>
      <c r="AZ54" s="141">
        <f t="shared" si="118"/>
        <v>0</v>
      </c>
      <c r="BA54" s="19">
        <f t="shared" si="119"/>
        <v>17.417902347598556</v>
      </c>
      <c r="BB54" s="142">
        <f t="shared" si="120"/>
        <v>6.4272059662638667E-3</v>
      </c>
      <c r="BC54" s="19">
        <f t="shared" si="78"/>
        <v>21.222414965124177</v>
      </c>
      <c r="BD54" s="79">
        <f t="shared" si="121"/>
        <v>7.8310711221308213E-3</v>
      </c>
      <c r="BE54" s="145">
        <f t="shared" si="122"/>
        <v>1.8757960403542071E-3</v>
      </c>
      <c r="BF54" s="149">
        <f t="shared" si="123"/>
        <v>1.5193947926869082E-3</v>
      </c>
      <c r="BG54" s="145">
        <f t="shared" si="124"/>
        <v>9.3302103059902303E-2</v>
      </c>
      <c r="BH54" s="153">
        <f t="shared" si="125"/>
        <v>1.3637945455871121E-2</v>
      </c>
      <c r="BI54" s="30">
        <f t="shared" si="126"/>
        <v>9.3302103059902303E-2</v>
      </c>
      <c r="BJ54" s="32">
        <f t="shared" si="127"/>
        <v>1.3637945455871121E-2</v>
      </c>
      <c r="BK54" s="30">
        <f t="shared" si="128"/>
        <v>0</v>
      </c>
      <c r="BL54" s="32">
        <f t="shared" si="129"/>
        <v>0</v>
      </c>
      <c r="BM54" s="30">
        <f t="shared" si="130"/>
        <v>0</v>
      </c>
      <c r="BN54" s="32">
        <f t="shared" si="131"/>
        <v>0</v>
      </c>
      <c r="BO54" s="30">
        <f t="shared" si="132"/>
        <v>0</v>
      </c>
      <c r="BP54" s="32">
        <f t="shared" si="133"/>
        <v>0</v>
      </c>
      <c r="BQ54" s="151">
        <f t="shared" si="134"/>
        <v>0</v>
      </c>
      <c r="BR54" s="32">
        <f t="shared" si="135"/>
        <v>0</v>
      </c>
      <c r="BS54" s="104">
        <f t="shared" si="79"/>
        <v>0.21727528786458797</v>
      </c>
      <c r="BT54" s="226">
        <f t="shared" si="80"/>
        <v>0.21727528786458797</v>
      </c>
      <c r="BU54" s="226">
        <f t="shared" si="81"/>
        <v>0.21727528786458797</v>
      </c>
      <c r="BV54" s="125">
        <f t="shared" si="82"/>
        <v>0.22370249383085183</v>
      </c>
      <c r="BW54" s="126">
        <f t="shared" si="83"/>
        <v>0.2251063589867188</v>
      </c>
      <c r="BX54" s="104">
        <f>(M54^2)*'Fly-Buck_Calc'!$B$80</f>
        <v>9.3771433470507537E-4</v>
      </c>
      <c r="BY54" s="106">
        <f t="shared" si="136"/>
        <v>5.0000000000000001E-3</v>
      </c>
      <c r="BZ54" s="106">
        <f t="shared" si="137"/>
        <v>5.0000000000000001E-3</v>
      </c>
      <c r="CA54" s="106">
        <f t="shared" si="138"/>
        <v>0</v>
      </c>
      <c r="CB54" s="106">
        <f t="shared" si="139"/>
        <v>0</v>
      </c>
      <c r="CC54" s="106">
        <f t="shared" si="140"/>
        <v>0</v>
      </c>
      <c r="CD54" s="106">
        <f t="shared" si="141"/>
        <v>0</v>
      </c>
      <c r="CE54" s="128">
        <f t="shared" si="84"/>
        <v>1.0937714334705076E-2</v>
      </c>
      <c r="CF54" s="91">
        <f t="shared" si="85"/>
        <v>3.8848165294924544E-3</v>
      </c>
      <c r="CG54" s="106">
        <f t="shared" si="142"/>
        <v>0.24</v>
      </c>
      <c r="CH54" s="206">
        <f t="shared" si="143"/>
        <v>8.3333333333333332E-3</v>
      </c>
      <c r="CI54" s="92">
        <f t="shared" si="144"/>
        <v>0.28800000000000003</v>
      </c>
      <c r="CJ54" s="108">
        <f t="shared" si="145"/>
        <v>0.09</v>
      </c>
      <c r="CK54" s="92">
        <f t="shared" si="146"/>
        <v>0.63021814986282576</v>
      </c>
      <c r="CL54" s="189">
        <f t="shared" si="147"/>
        <v>0.15</v>
      </c>
      <c r="CM54" s="226">
        <f t="shared" si="148"/>
        <v>0.15</v>
      </c>
      <c r="CN54" s="226">
        <f t="shared" si="149"/>
        <v>0</v>
      </c>
      <c r="CO54" s="226">
        <f t="shared" si="150"/>
        <v>0</v>
      </c>
      <c r="CP54" s="226">
        <f t="shared" si="151"/>
        <v>0</v>
      </c>
      <c r="CQ54" s="228">
        <f t="shared" si="152"/>
        <v>0</v>
      </c>
      <c r="CR54" s="231">
        <f t="shared" si="86"/>
        <v>0.3</v>
      </c>
      <c r="CS54" s="206">
        <f t="shared" si="153"/>
        <v>0.94115586419753072</v>
      </c>
      <c r="CT54" s="206">
        <f t="shared" si="154"/>
        <v>5.9411558641975306</v>
      </c>
      <c r="CU54" s="206">
        <f t="shared" si="155"/>
        <v>0.84158707737847704</v>
      </c>
      <c r="CV54">
        <f t="shared" si="156"/>
        <v>48</v>
      </c>
    </row>
    <row r="55" spans="1:100" x14ac:dyDescent="0.25">
      <c r="A55" s="204" t="s">
        <v>441</v>
      </c>
      <c r="B55" s="12">
        <f>IF(AND(Vout1&lt;&gt;0,Iout1&lt;&gt;0,Ns1_FlyB&lt;&gt;0),((Ns1_FlyB/Np)*(VinMax-VoutPri_FB))+ABS(Vout1),0)</f>
        <v>50.580000000000005</v>
      </c>
      <c r="C55" s="12" t="s">
        <v>5</v>
      </c>
    </row>
    <row r="56" spans="1:100" x14ac:dyDescent="0.25">
      <c r="A56" s="204" t="s">
        <v>442</v>
      </c>
      <c r="B56" s="12">
        <f>IF(AND(Vout2&lt;&gt;0,Iout2&lt;&gt;0,Ns2_FlyB&lt;&gt;0),((Ns2_FlyB/Np)*(VinMax-VoutPri_FB))+ABS(Vout2),0)</f>
        <v>50.580000000000005</v>
      </c>
      <c r="C56" s="12"/>
    </row>
    <row r="57" spans="1:100" x14ac:dyDescent="0.25">
      <c r="A57" s="204" t="s">
        <v>443</v>
      </c>
      <c r="B57" s="12">
        <f>IF(AND(Vout3&lt;&gt;0,Iout3&lt;&gt;0,Ns3_FlyB&lt;&gt;0),((Ns3_FlyB/Np)*(VinMax-VoutPri_FB))+ABS(Vout3),0)</f>
        <v>0</v>
      </c>
      <c r="C57" s="12"/>
    </row>
    <row r="58" spans="1:100" x14ac:dyDescent="0.25">
      <c r="A58" s="204" t="s">
        <v>444</v>
      </c>
      <c r="B58" s="12">
        <f>IF(AND(Vout4&lt;&gt;0,Iout4&lt;&gt;0,Ns4_FlyB&lt;&gt;0),((Ns4_FlyB/Np)*(VinMax-VoutPri_FB))+ABS(Vout4),0)</f>
        <v>0</v>
      </c>
      <c r="C58" s="12"/>
    </row>
    <row r="59" spans="1:100" x14ac:dyDescent="0.25">
      <c r="A59" s="204" t="s">
        <v>445</v>
      </c>
      <c r="B59" s="12">
        <f>IF(AND(Vout5&lt;&gt;0,Iout5&lt;&gt;0,Ns5_FlyB&lt;&gt;0),((Ns5_FlyB/Np)*(VinMax-VoutPri_FB))+ABS(Vout5),0)</f>
        <v>0</v>
      </c>
      <c r="C59" s="12"/>
    </row>
    <row r="60" spans="1:100" x14ac:dyDescent="0.25">
      <c r="A60" s="204" t="s">
        <v>446</v>
      </c>
      <c r="B60" s="12">
        <f>IF(AND(Vout6&lt;&gt;0,Iout6&lt;&gt;0,Ns6_FlyB&lt;&gt;0),((Ns6_FlyB/Np)*(VinMax-VoutPri_FB))+ABS(Vout6),0)</f>
        <v>0</v>
      </c>
      <c r="C60" s="12"/>
    </row>
    <row r="61" spans="1:100" x14ac:dyDescent="0.25">
      <c r="A61" s="204" t="s">
        <v>448</v>
      </c>
      <c r="B61" s="12">
        <f>VinMax</f>
        <v>48</v>
      </c>
      <c r="C61" s="12"/>
    </row>
    <row r="62" spans="1:100" x14ac:dyDescent="0.25">
      <c r="A62" s="310" t="s">
        <v>468</v>
      </c>
      <c r="B62" s="310"/>
      <c r="C62" s="310"/>
      <c r="D62" t="s">
        <v>574</v>
      </c>
    </row>
    <row r="63" spans="1:100" x14ac:dyDescent="0.25">
      <c r="A63" s="214" t="s">
        <v>527</v>
      </c>
      <c r="B63" s="12">
        <f>IF('Fly-Buck'!B37="LM5017",1,IF('Fly-Buck'!B37="LM5018",2,IF('Fly-Buck'!B37="LM5019",3,IF('Fly-Buck'!B37="LM5160",4,1))))</f>
        <v>4</v>
      </c>
      <c r="C63" s="12"/>
    </row>
    <row r="64" spans="1:100" x14ac:dyDescent="0.25">
      <c r="A64" s="214" t="s">
        <v>527</v>
      </c>
      <c r="B64" s="255" t="str">
        <f>VLOOKUP(B63,Parts!A4:BE11,2,FALSE)</f>
        <v>LM5160</v>
      </c>
      <c r="C64" s="12"/>
    </row>
    <row r="65" spans="1:3" x14ac:dyDescent="0.25">
      <c r="A65" s="214" t="s">
        <v>0</v>
      </c>
      <c r="B65" s="12">
        <f>VLOOKUP(B63,Parts!A4:BE11,4,FALSE)</f>
        <v>4.5</v>
      </c>
      <c r="C65" s="12" t="s">
        <v>5</v>
      </c>
    </row>
    <row r="66" spans="1:3" x14ac:dyDescent="0.25">
      <c r="A66" s="214" t="s">
        <v>2</v>
      </c>
      <c r="B66" s="12">
        <f>VLOOKUP(B63,Parts!A4:BE11,5,FALSE)</f>
        <v>65</v>
      </c>
      <c r="C66" s="12" t="s">
        <v>5</v>
      </c>
    </row>
    <row r="67" spans="1:3" x14ac:dyDescent="0.25">
      <c r="A67" s="214" t="s">
        <v>550</v>
      </c>
      <c r="B67" s="12">
        <f>VLOOKUP(B63,Parts!A4:BE11,12,FALSE)</f>
        <v>8.9999999999999999E-11</v>
      </c>
      <c r="C67" s="12"/>
    </row>
    <row r="68" spans="1:3" x14ac:dyDescent="0.25">
      <c r="A68" s="214" t="s">
        <v>551</v>
      </c>
      <c r="B68" s="12">
        <f>VLOOKUP(B63,Parts!A4:BE11,8,FALSE)</f>
        <v>2</v>
      </c>
      <c r="C68" s="12" t="s">
        <v>5</v>
      </c>
    </row>
    <row r="69" spans="1:3" x14ac:dyDescent="0.25">
      <c r="A69" s="214" t="s">
        <v>552</v>
      </c>
      <c r="B69" s="12">
        <f>VLOOKUP(B63,Parts!A4:BE11,18,FALSE)</f>
        <v>7.5</v>
      </c>
      <c r="C69" s="12" t="s">
        <v>5</v>
      </c>
    </row>
    <row r="70" spans="1:3" x14ac:dyDescent="0.25">
      <c r="A70" s="214" t="s">
        <v>553</v>
      </c>
      <c r="B70" s="12">
        <f>VLOOKUP(B63,Parts!A4:BE11,20,FALSE)</f>
        <v>0.28999999999999998</v>
      </c>
      <c r="C70" s="215" t="s">
        <v>254</v>
      </c>
    </row>
    <row r="71" spans="1:3" x14ac:dyDescent="0.25">
      <c r="A71" s="214" t="s">
        <v>593</v>
      </c>
      <c r="B71" s="12">
        <f>VLOOKUP(B63,Parts!A4:BE11,21,FALSE)</f>
        <v>2E-8</v>
      </c>
      <c r="C71" s="12" t="s">
        <v>595</v>
      </c>
    </row>
    <row r="72" spans="1:3" x14ac:dyDescent="0.25">
      <c r="A72" s="214" t="s">
        <v>554</v>
      </c>
      <c r="B72" s="12">
        <f>VLOOKUP(B63,Parts!A4:BE11,22,FALSE)</f>
        <v>0.13</v>
      </c>
      <c r="C72" s="215" t="s">
        <v>254</v>
      </c>
    </row>
    <row r="73" spans="1:3" x14ac:dyDescent="0.25">
      <c r="A73" s="214" t="s">
        <v>592</v>
      </c>
      <c r="B73" s="12">
        <f>VLOOKUP(B63,Parts!A4:BE11,23,FALSE)</f>
        <v>2E-8</v>
      </c>
      <c r="C73" s="12" t="s">
        <v>595</v>
      </c>
    </row>
    <row r="74" spans="1:3" x14ac:dyDescent="0.25">
      <c r="A74" s="214" t="s">
        <v>575</v>
      </c>
      <c r="B74" s="12">
        <f>VLOOKUP(B63,Parts!A4:BE11,27,FALSE)</f>
        <v>1.9</v>
      </c>
      <c r="C74" s="12" t="s">
        <v>6</v>
      </c>
    </row>
    <row r="75" spans="1:3" x14ac:dyDescent="0.25">
      <c r="A75" s="214" t="s">
        <v>945</v>
      </c>
      <c r="B75" s="12">
        <f>VLOOKUP(B63,Parts!A4:BM15,64,FALSE)</f>
        <v>2.5000000000000002E-8</v>
      </c>
      <c r="C75" s="12" t="s">
        <v>320</v>
      </c>
    </row>
    <row r="76" spans="1:3" x14ac:dyDescent="0.25">
      <c r="A76" s="214" t="s">
        <v>948</v>
      </c>
      <c r="B76" s="12">
        <f>VLOOKUP(B63,Parts!A4:BM15,65,FALSE)</f>
        <v>2E-8</v>
      </c>
      <c r="C76" s="12" t="s">
        <v>949</v>
      </c>
    </row>
    <row r="77" spans="1:3" x14ac:dyDescent="0.25">
      <c r="A77" s="214" t="s">
        <v>591</v>
      </c>
      <c r="B77" s="12"/>
      <c r="C77" s="12"/>
    </row>
    <row r="78" spans="1:3" x14ac:dyDescent="0.25">
      <c r="A78" s="214" t="s">
        <v>930</v>
      </c>
      <c r="B78" s="12">
        <f>VLOOKUP(B63,Parts!A4:BK15,57,FALSE)</f>
        <v>18</v>
      </c>
      <c r="C78" s="12" t="s">
        <v>933</v>
      </c>
    </row>
    <row r="79" spans="1:3" x14ac:dyDescent="0.25">
      <c r="A79" s="214" t="s">
        <v>931</v>
      </c>
      <c r="B79" s="12">
        <f>VLOOKUP(B63,Parts!A4:BK15,61,FALSE)</f>
        <v>5.1180000000000003</v>
      </c>
      <c r="C79" s="12" t="s">
        <v>932</v>
      </c>
    </row>
    <row r="80" spans="1:3" x14ac:dyDescent="0.25">
      <c r="A80" s="214" t="s">
        <v>583</v>
      </c>
      <c r="B80" s="12">
        <f>'Fly-Buck'!B25/1000</f>
        <v>7.0000000000000007E-2</v>
      </c>
      <c r="C80" s="215" t="s">
        <v>254</v>
      </c>
    </row>
    <row r="81" spans="1:6" x14ac:dyDescent="0.25">
      <c r="A81" s="214" t="s">
        <v>584</v>
      </c>
      <c r="B81" s="12">
        <f>'Fly-Buck'!G15/1000</f>
        <v>0.02</v>
      </c>
      <c r="C81" s="215" t="s">
        <v>254</v>
      </c>
    </row>
    <row r="82" spans="1:6" x14ac:dyDescent="0.25">
      <c r="A82" s="214" t="s">
        <v>585</v>
      </c>
      <c r="B82" s="12">
        <f>'Fly-Buck'!G16/1000</f>
        <v>0.02</v>
      </c>
      <c r="C82" s="215" t="s">
        <v>254</v>
      </c>
    </row>
    <row r="83" spans="1:6" x14ac:dyDescent="0.25">
      <c r="A83" s="214" t="s">
        <v>586</v>
      </c>
      <c r="B83" s="12">
        <f>'Fly-Buck'!G17/1000</f>
        <v>0</v>
      </c>
      <c r="C83" s="215" t="s">
        <v>254</v>
      </c>
    </row>
    <row r="84" spans="1:6" x14ac:dyDescent="0.25">
      <c r="A84" s="214" t="s">
        <v>587</v>
      </c>
      <c r="B84" s="12">
        <f>'Fly-Buck'!G18/1000</f>
        <v>0</v>
      </c>
      <c r="C84" s="215" t="s">
        <v>254</v>
      </c>
    </row>
    <row r="85" spans="1:6" x14ac:dyDescent="0.25">
      <c r="A85" s="214" t="s">
        <v>588</v>
      </c>
      <c r="B85" s="12">
        <f>'Fly-Buck'!G19/1000</f>
        <v>0</v>
      </c>
      <c r="C85" s="215" t="s">
        <v>254</v>
      </c>
    </row>
    <row r="86" spans="1:6" x14ac:dyDescent="0.25">
      <c r="A86" s="214" t="s">
        <v>589</v>
      </c>
      <c r="B86" s="12">
        <f>'Fly-Buck'!G20/1000</f>
        <v>0</v>
      </c>
      <c r="C86" s="215" t="s">
        <v>254</v>
      </c>
    </row>
    <row r="87" spans="1:6" x14ac:dyDescent="0.25">
      <c r="A87" s="222"/>
    </row>
    <row r="88" spans="1:6" ht="15.75" thickBot="1" x14ac:dyDescent="0.3">
      <c r="A88" s="222" t="s">
        <v>624</v>
      </c>
    </row>
    <row r="89" spans="1:6" x14ac:dyDescent="0.25">
      <c r="A89" s="312" t="s">
        <v>523</v>
      </c>
      <c r="B89" s="313"/>
      <c r="C89" s="313"/>
      <c r="D89" s="313"/>
      <c r="E89" s="314"/>
      <c r="F89" t="s">
        <v>877</v>
      </c>
    </row>
    <row r="90" spans="1:6" x14ac:dyDescent="0.25">
      <c r="A90" s="281"/>
      <c r="B90" s="94" t="s">
        <v>872</v>
      </c>
      <c r="C90" s="92"/>
      <c r="D90" s="92" t="s">
        <v>870</v>
      </c>
      <c r="E90" s="93" t="s">
        <v>871</v>
      </c>
    </row>
    <row r="91" spans="1:6" x14ac:dyDescent="0.25">
      <c r="A91" s="91" t="s">
        <v>873</v>
      </c>
      <c r="B91" s="92">
        <f>VoutPri_FB*Parts!AA7*eff</f>
        <v>8.5500000000000007</v>
      </c>
      <c r="C91" s="92" t="s">
        <v>91</v>
      </c>
      <c r="D91" s="92">
        <f>Pout_FB</f>
        <v>5</v>
      </c>
      <c r="E91" s="93">
        <f>IF(B91&gt;D91,1,0)</f>
        <v>1</v>
      </c>
    </row>
    <row r="92" spans="1:6" x14ac:dyDescent="0.25">
      <c r="A92" s="91" t="s">
        <v>677</v>
      </c>
      <c r="B92" s="92">
        <f>Parts!D7</f>
        <v>4.5</v>
      </c>
      <c r="C92" s="92" t="s">
        <v>5</v>
      </c>
      <c r="D92" s="92">
        <f>VIN_MIN</f>
        <v>9</v>
      </c>
      <c r="E92" s="93">
        <f>IF(B92&lt;D92,1,0)</f>
        <v>1</v>
      </c>
    </row>
    <row r="93" spans="1:6" x14ac:dyDescent="0.25">
      <c r="A93" s="91" t="s">
        <v>678</v>
      </c>
      <c r="B93" s="92">
        <f>Parts!E7</f>
        <v>65</v>
      </c>
      <c r="C93" s="92"/>
      <c r="D93" s="92">
        <f>VIN_MAX</f>
        <v>36</v>
      </c>
      <c r="E93" s="93">
        <f>IF(B93&gt;D93,1,0)</f>
        <v>1</v>
      </c>
    </row>
    <row r="94" spans="1:6" x14ac:dyDescent="0.25">
      <c r="A94" s="91" t="s">
        <v>874</v>
      </c>
      <c r="B94" s="92">
        <f>Parts!H7</f>
        <v>2</v>
      </c>
      <c r="C94" s="92"/>
      <c r="D94" s="92">
        <f>VoutPri_FB</f>
        <v>5</v>
      </c>
      <c r="E94" s="93">
        <f>IF(B94&lt;D94,1,0)</f>
        <v>1</v>
      </c>
    </row>
    <row r="95" spans="1:6" x14ac:dyDescent="0.25">
      <c r="A95" s="91" t="s">
        <v>875</v>
      </c>
      <c r="B95" s="92">
        <f>1000*Parts!I7</f>
        <v>50000</v>
      </c>
      <c r="C95" s="92"/>
      <c r="D95" s="92">
        <f>Fsw</f>
        <v>300000</v>
      </c>
      <c r="E95" s="93">
        <f>IF(B95&lt;D95,1,0)</f>
        <v>1</v>
      </c>
    </row>
    <row r="96" spans="1:6" ht="15.75" thickBot="1" x14ac:dyDescent="0.3">
      <c r="A96" s="104" t="s">
        <v>876</v>
      </c>
      <c r="B96" s="106">
        <f>1000*Parts!J7</f>
        <v>1000000</v>
      </c>
      <c r="C96" s="106"/>
      <c r="D96" s="106">
        <f>Fsw</f>
        <v>300000</v>
      </c>
      <c r="E96" s="108">
        <f>IF(B96&gt;D96,1,0)</f>
        <v>1</v>
      </c>
      <c r="F96">
        <f>PRODUCT(E91:E96)</f>
        <v>1</v>
      </c>
    </row>
    <row r="97" spans="1:6" x14ac:dyDescent="0.25">
      <c r="A97" s="312" t="s">
        <v>116</v>
      </c>
      <c r="B97" s="313"/>
      <c r="C97" s="313"/>
      <c r="D97" s="313"/>
      <c r="E97" s="314"/>
    </row>
    <row r="98" spans="1:6" x14ac:dyDescent="0.25">
      <c r="A98" s="281"/>
      <c r="B98" s="94" t="s">
        <v>872</v>
      </c>
      <c r="C98" s="92"/>
      <c r="D98" s="92" t="s">
        <v>870</v>
      </c>
      <c r="E98" s="93" t="s">
        <v>871</v>
      </c>
    </row>
    <row r="99" spans="1:6" x14ac:dyDescent="0.25">
      <c r="A99" s="91" t="s">
        <v>873</v>
      </c>
      <c r="B99" s="92">
        <f>VoutPri_FB*Parts!AA4*eff</f>
        <v>3.15</v>
      </c>
      <c r="C99" s="92" t="s">
        <v>91</v>
      </c>
      <c r="D99" s="92">
        <f>Pout_FB</f>
        <v>5</v>
      </c>
      <c r="E99" s="93">
        <f>IF(B99&gt;D99,1,0)</f>
        <v>0</v>
      </c>
    </row>
    <row r="100" spans="1:6" x14ac:dyDescent="0.25">
      <c r="A100" s="91" t="s">
        <v>677</v>
      </c>
      <c r="B100" s="92">
        <f>Parts!D4</f>
        <v>7.5</v>
      </c>
      <c r="C100" s="92" t="s">
        <v>5</v>
      </c>
      <c r="D100" s="92">
        <f>VIN_MIN</f>
        <v>9</v>
      </c>
      <c r="E100" s="93">
        <f>IF(B100&lt;D100,1,0)</f>
        <v>1</v>
      </c>
    </row>
    <row r="101" spans="1:6" x14ac:dyDescent="0.25">
      <c r="A101" s="91" t="s">
        <v>678</v>
      </c>
      <c r="B101" s="92">
        <f>Parts!E4</f>
        <v>100</v>
      </c>
      <c r="C101" s="92"/>
      <c r="D101" s="92">
        <f>VIN_MAX</f>
        <v>36</v>
      </c>
      <c r="E101" s="93">
        <f>IF(B101&gt;D101,1,0)</f>
        <v>1</v>
      </c>
    </row>
    <row r="102" spans="1:6" x14ac:dyDescent="0.25">
      <c r="A102" s="91" t="s">
        <v>874</v>
      </c>
      <c r="B102" s="92">
        <f>Parts!H4</f>
        <v>1.2250000000000001</v>
      </c>
      <c r="C102" s="92"/>
      <c r="D102" s="92">
        <f>VoutPri_FB</f>
        <v>5</v>
      </c>
      <c r="E102" s="93">
        <f>IF(B102&lt;D102,1,0)</f>
        <v>1</v>
      </c>
    </row>
    <row r="103" spans="1:6" x14ac:dyDescent="0.25">
      <c r="A103" s="91" t="s">
        <v>875</v>
      </c>
      <c r="B103" s="92">
        <f>Parts!I4*1000</f>
        <v>50000</v>
      </c>
      <c r="C103" s="92"/>
      <c r="D103" s="92">
        <f>Fsw</f>
        <v>300000</v>
      </c>
      <c r="E103" s="93">
        <f>IF(B103&lt;D103,1,0)</f>
        <v>1</v>
      </c>
    </row>
    <row r="104" spans="1:6" ht="15.75" thickBot="1" x14ac:dyDescent="0.3">
      <c r="A104" s="104" t="s">
        <v>876</v>
      </c>
      <c r="B104" s="106">
        <f>Parts!J4*1000</f>
        <v>1000000</v>
      </c>
      <c r="C104" s="106"/>
      <c r="D104" s="106">
        <f>Fsw</f>
        <v>300000</v>
      </c>
      <c r="E104" s="108">
        <f>IF(B104&gt;D104,1,0)</f>
        <v>1</v>
      </c>
      <c r="F104">
        <f>PRODUCT(E99:E104)</f>
        <v>0</v>
      </c>
    </row>
    <row r="105" spans="1:6" x14ac:dyDescent="0.25">
      <c r="A105" s="312" t="s">
        <v>117</v>
      </c>
      <c r="B105" s="313"/>
      <c r="C105" s="313"/>
      <c r="D105" s="313"/>
      <c r="E105" s="314"/>
    </row>
    <row r="106" spans="1:6" x14ac:dyDescent="0.25">
      <c r="A106" s="281"/>
      <c r="B106" s="94" t="s">
        <v>872</v>
      </c>
      <c r="C106" s="92"/>
      <c r="D106" s="92" t="s">
        <v>870</v>
      </c>
      <c r="E106" s="93" t="s">
        <v>871</v>
      </c>
    </row>
    <row r="107" spans="1:6" x14ac:dyDescent="0.25">
      <c r="A107" s="91" t="s">
        <v>873</v>
      </c>
      <c r="B107" s="92">
        <f>VoutPri_FB*Parts!AA5*eff</f>
        <v>1.7550000000000001</v>
      </c>
      <c r="C107" s="92" t="s">
        <v>91</v>
      </c>
      <c r="D107" s="92">
        <f>Pout_FB</f>
        <v>5</v>
      </c>
      <c r="E107" s="93">
        <f>IF(B107&gt;D107,1,0)</f>
        <v>0</v>
      </c>
    </row>
    <row r="108" spans="1:6" x14ac:dyDescent="0.25">
      <c r="A108" s="91" t="s">
        <v>677</v>
      </c>
      <c r="B108" s="92">
        <f>Parts!D5</f>
        <v>7.5</v>
      </c>
      <c r="C108" s="92" t="s">
        <v>5</v>
      </c>
      <c r="D108" s="92">
        <f>VIN_MIN</f>
        <v>9</v>
      </c>
      <c r="E108" s="93">
        <f>IF(B108&lt;D108,1,0)</f>
        <v>1</v>
      </c>
    </row>
    <row r="109" spans="1:6" x14ac:dyDescent="0.25">
      <c r="A109" s="91" t="s">
        <v>678</v>
      </c>
      <c r="B109" s="92">
        <f>Parts!E5</f>
        <v>100</v>
      </c>
      <c r="C109" s="92"/>
      <c r="D109" s="92">
        <f>VIN_MAX</f>
        <v>36</v>
      </c>
      <c r="E109" s="93">
        <f>IF(B109&gt;D109,1,0)</f>
        <v>1</v>
      </c>
    </row>
    <row r="110" spans="1:6" x14ac:dyDescent="0.25">
      <c r="A110" s="91" t="s">
        <v>874</v>
      </c>
      <c r="B110" s="92">
        <f>Parts!H5</f>
        <v>1.2250000000000001</v>
      </c>
      <c r="C110" s="92"/>
      <c r="D110" s="92">
        <f>VoutPri_FB</f>
        <v>5</v>
      </c>
      <c r="E110" s="93">
        <f>IF(B110&lt;D110,1,0)</f>
        <v>1</v>
      </c>
    </row>
    <row r="111" spans="1:6" x14ac:dyDescent="0.25">
      <c r="A111" s="91" t="s">
        <v>875</v>
      </c>
      <c r="B111" s="92">
        <f>Parts!I5*1000</f>
        <v>50000</v>
      </c>
      <c r="C111" s="92"/>
      <c r="D111" s="92">
        <f>Fsw</f>
        <v>300000</v>
      </c>
      <c r="E111" s="93">
        <f>IF(B111&lt;D111,1,0)</f>
        <v>1</v>
      </c>
    </row>
    <row r="112" spans="1:6" ht="15.75" thickBot="1" x14ac:dyDescent="0.3">
      <c r="A112" s="104" t="s">
        <v>876</v>
      </c>
      <c r="B112" s="106">
        <f>Parts!J5*1000</f>
        <v>1000000</v>
      </c>
      <c r="C112" s="106"/>
      <c r="D112" s="106">
        <f>Fsw</f>
        <v>300000</v>
      </c>
      <c r="E112" s="108">
        <f>IF(B112&gt;D112,1,0)</f>
        <v>1</v>
      </c>
      <c r="F112">
        <f>PRODUCT(E107:E112)</f>
        <v>0</v>
      </c>
    </row>
    <row r="113" spans="1:9" x14ac:dyDescent="0.25">
      <c r="A113" s="312" t="s">
        <v>118</v>
      </c>
      <c r="B113" s="313"/>
      <c r="C113" s="313"/>
      <c r="D113" s="313"/>
      <c r="E113" s="314"/>
    </row>
    <row r="114" spans="1:9" x14ac:dyDescent="0.25">
      <c r="A114" s="281"/>
      <c r="B114" s="94" t="s">
        <v>872</v>
      </c>
      <c r="C114" s="92"/>
      <c r="D114" s="92" t="s">
        <v>870</v>
      </c>
      <c r="E114" s="93" t="s">
        <v>871</v>
      </c>
    </row>
    <row r="115" spans="1:9" x14ac:dyDescent="0.25">
      <c r="A115" s="91" t="s">
        <v>873</v>
      </c>
      <c r="B115" s="92">
        <f>VoutPri_FB*Parts!AA6*eff</f>
        <v>0.67500000000000004</v>
      </c>
      <c r="C115" s="92" t="s">
        <v>91</v>
      </c>
      <c r="D115" s="92">
        <f>Pout_FB</f>
        <v>5</v>
      </c>
      <c r="E115" s="93">
        <f>IF(B115&gt;D115,1,0)</f>
        <v>0</v>
      </c>
    </row>
    <row r="116" spans="1:9" x14ac:dyDescent="0.25">
      <c r="A116" s="91" t="s">
        <v>677</v>
      </c>
      <c r="B116" s="92">
        <f>Parts!D6</f>
        <v>7.5</v>
      </c>
      <c r="C116" s="92" t="s">
        <v>5</v>
      </c>
      <c r="D116" s="92">
        <f>VIN_MIN</f>
        <v>9</v>
      </c>
      <c r="E116" s="93">
        <f>IF(B116&lt;D116,1,0)</f>
        <v>1</v>
      </c>
    </row>
    <row r="117" spans="1:9" x14ac:dyDescent="0.25">
      <c r="A117" s="91" t="s">
        <v>678</v>
      </c>
      <c r="B117" s="92">
        <f>Parts!E6</f>
        <v>100</v>
      </c>
      <c r="C117" s="92"/>
      <c r="D117" s="92">
        <f>VIN_MAX</f>
        <v>36</v>
      </c>
      <c r="E117" s="93">
        <f>IF(B117&gt;D117,1,0)</f>
        <v>1</v>
      </c>
    </row>
    <row r="118" spans="1:9" x14ac:dyDescent="0.25">
      <c r="A118" s="91" t="s">
        <v>874</v>
      </c>
      <c r="B118" s="92">
        <f>Parts!H6</f>
        <v>1.2250000000000001</v>
      </c>
      <c r="C118" s="92"/>
      <c r="D118" s="92">
        <f>VoutPri_FB</f>
        <v>5</v>
      </c>
      <c r="E118" s="93">
        <f>IF(B118&lt;D118,1,0)</f>
        <v>1</v>
      </c>
    </row>
    <row r="119" spans="1:9" ht="15.75" thickBot="1" x14ac:dyDescent="0.3">
      <c r="A119" s="91" t="s">
        <v>875</v>
      </c>
      <c r="B119" s="92">
        <f>Parts!I6*1000</f>
        <v>50000</v>
      </c>
      <c r="C119" s="92"/>
      <c r="D119" s="92">
        <f>Fsw</f>
        <v>300000</v>
      </c>
      <c r="E119" s="93">
        <f>IF(B119&lt;D119,1,0)</f>
        <v>1</v>
      </c>
    </row>
    <row r="120" spans="1:9" ht="15.75" thickBot="1" x14ac:dyDescent="0.3">
      <c r="A120" s="104" t="s">
        <v>876</v>
      </c>
      <c r="B120" s="106">
        <f>Parts!J6*1000</f>
        <v>1000000</v>
      </c>
      <c r="C120" s="106"/>
      <c r="D120" s="106">
        <f>Fsw</f>
        <v>300000</v>
      </c>
      <c r="E120" s="108">
        <f>IF(B120&gt;D120,1,0)</f>
        <v>1</v>
      </c>
      <c r="F120">
        <f>PRODUCT(E115:E120)</f>
        <v>0</v>
      </c>
      <c r="G120" s="315" t="s">
        <v>878</v>
      </c>
      <c r="H120" s="316"/>
      <c r="I120" s="253">
        <f>IF(SUM(F96,F104,F112,F120)&gt;=1,1,0)</f>
        <v>1</v>
      </c>
    </row>
  </sheetData>
  <mergeCells count="18">
    <mergeCell ref="A89:E89"/>
    <mergeCell ref="A97:E97"/>
    <mergeCell ref="A105:E105"/>
    <mergeCell ref="A113:E113"/>
    <mergeCell ref="G120:H120"/>
    <mergeCell ref="CF2:CK2"/>
    <mergeCell ref="BX2:CE2"/>
    <mergeCell ref="CL2:CR2"/>
    <mergeCell ref="CS2:CU2"/>
    <mergeCell ref="A62:C62"/>
    <mergeCell ref="BS2:BW2"/>
    <mergeCell ref="A39:C39"/>
    <mergeCell ref="A54:C54"/>
    <mergeCell ref="A6:B6"/>
    <mergeCell ref="A4:B4"/>
    <mergeCell ref="A11:B11"/>
    <mergeCell ref="A24:B24"/>
    <mergeCell ref="A30:B30"/>
  </mergeCells>
  <conditionalFormatting sqref="AV4:BD54">
    <cfRule type="expression" dxfId="9" priority="1">
      <formula>MOD(ROW(),2)=1</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5"/>
  <sheetViews>
    <sheetView zoomScale="85" zoomScaleNormal="85" workbookViewId="0">
      <selection activeCell="W119" sqref="W119"/>
    </sheetView>
  </sheetViews>
  <sheetFormatPr defaultRowHeight="15" x14ac:dyDescent="0.25"/>
  <cols>
    <col min="1" max="1" width="32.140625" style="340" bestFit="1" customWidth="1"/>
    <col min="2" max="2" width="12" style="340" bestFit="1" customWidth="1"/>
    <col min="3" max="3" width="3.7109375" style="340" customWidth="1"/>
    <col min="4" max="4" width="9.140625" style="340"/>
    <col min="5" max="5" width="9.5703125" style="340" customWidth="1"/>
    <col min="6" max="16384" width="9.140625" style="340"/>
  </cols>
  <sheetData>
    <row r="1" spans="1:21" s="517" customFormat="1" x14ac:dyDescent="0.25">
      <c r="A1" s="517" t="s">
        <v>827</v>
      </c>
    </row>
    <row r="2" spans="1:21" s="517" customFormat="1" x14ac:dyDescent="0.25"/>
    <row r="4" spans="1:21" x14ac:dyDescent="0.25">
      <c r="P4" s="340" t="s">
        <v>846</v>
      </c>
    </row>
    <row r="5" spans="1:21" x14ac:dyDescent="0.25">
      <c r="P5" s="340" t="s">
        <v>848</v>
      </c>
      <c r="U5" s="340" t="s">
        <v>847</v>
      </c>
    </row>
    <row r="6" spans="1:21" ht="19.5" thickBot="1" x14ac:dyDescent="0.35">
      <c r="E6" s="346" t="s">
        <v>904</v>
      </c>
      <c r="F6" s="346"/>
      <c r="G6" s="346"/>
      <c r="P6" s="340" t="s">
        <v>830</v>
      </c>
      <c r="Q6" s="340" t="s">
        <v>832</v>
      </c>
    </row>
    <row r="7" spans="1:21" ht="15.75" thickBot="1" x14ac:dyDescent="0.3">
      <c r="E7" s="348"/>
      <c r="F7" s="340" t="s">
        <v>903</v>
      </c>
      <c r="Q7" s="340" t="s">
        <v>849</v>
      </c>
      <c r="U7" s="340" t="s">
        <v>850</v>
      </c>
    </row>
    <row r="8" spans="1:21" ht="15.75" thickBot="1" x14ac:dyDescent="0.3">
      <c r="E8" s="349"/>
      <c r="F8" s="340" t="s">
        <v>905</v>
      </c>
    </row>
    <row r="9" spans="1:21" ht="15.75" thickBot="1" x14ac:dyDescent="0.3">
      <c r="E9" s="350"/>
      <c r="F9" s="340" t="s">
        <v>906</v>
      </c>
    </row>
    <row r="15" spans="1:21" ht="15.75" thickBot="1" x14ac:dyDescent="0.3">
      <c r="B15" s="379"/>
      <c r="C15" s="379"/>
      <c r="D15" s="379"/>
    </row>
    <row r="16" spans="1:21" ht="15.75" thickBot="1" x14ac:dyDescent="0.3">
      <c r="A16" s="488" t="s">
        <v>22</v>
      </c>
      <c r="B16" s="435" t="s">
        <v>702</v>
      </c>
      <c r="C16" s="435"/>
      <c r="D16" s="435" t="s">
        <v>26</v>
      </c>
      <c r="E16" s="436"/>
      <c r="F16" s="518" t="s">
        <v>798</v>
      </c>
      <c r="G16" s="519"/>
    </row>
    <row r="17" spans="1:7" x14ac:dyDescent="0.25">
      <c r="A17" s="440" t="s">
        <v>14</v>
      </c>
      <c r="B17" s="520">
        <f>IF(Ns1_FBack_Calc&lt;&gt;0,Ns1_FBack_Calc/Np,0)</f>
        <v>0.58888888888888891</v>
      </c>
      <c r="C17" s="365"/>
      <c r="D17" s="500">
        <f>n1_Flyback</f>
        <v>0.58899999999999997</v>
      </c>
      <c r="E17" s="365"/>
      <c r="F17" s="293">
        <v>10</v>
      </c>
      <c r="G17" s="345" t="s">
        <v>431</v>
      </c>
    </row>
    <row r="18" spans="1:7" x14ac:dyDescent="0.25">
      <c r="A18" s="440" t="s">
        <v>15</v>
      </c>
      <c r="B18" s="441">
        <f>IF(Ns2_FBack_Calc&lt;&gt;0,Ns2_FBack_Calc/Np,0)</f>
        <v>0.58899999999999997</v>
      </c>
      <c r="C18" s="365"/>
      <c r="D18" s="376">
        <f>n2_Flyback</f>
        <v>0.58899999999999997</v>
      </c>
      <c r="E18" s="365"/>
      <c r="F18" s="294">
        <v>10</v>
      </c>
      <c r="G18" s="345" t="s">
        <v>431</v>
      </c>
    </row>
    <row r="19" spans="1:7" x14ac:dyDescent="0.25">
      <c r="A19" s="440" t="s">
        <v>16</v>
      </c>
      <c r="B19" s="441">
        <f>IF(Ns3_FBack_Calc&lt;&gt;0,Ns3_FBack_Calc/Np,0)</f>
        <v>0</v>
      </c>
      <c r="C19" s="365"/>
      <c r="D19" s="376">
        <f>n3_Flyback</f>
        <v>0</v>
      </c>
      <c r="E19" s="365"/>
      <c r="F19" s="294">
        <v>0</v>
      </c>
      <c r="G19" s="345" t="s">
        <v>431</v>
      </c>
    </row>
    <row r="20" spans="1:7" x14ac:dyDescent="0.25">
      <c r="A20" s="440" t="s">
        <v>17</v>
      </c>
      <c r="B20" s="441">
        <f>IF(Ns4_FBack_Calc&lt;&gt;0,Ns4_FBack_Calc/Np,0)</f>
        <v>0</v>
      </c>
      <c r="C20" s="365"/>
      <c r="D20" s="376">
        <f>n4_Flyback</f>
        <v>0</v>
      </c>
      <c r="E20" s="365"/>
      <c r="F20" s="294">
        <v>0</v>
      </c>
      <c r="G20" s="345" t="s">
        <v>431</v>
      </c>
    </row>
    <row r="21" spans="1:7" x14ac:dyDescent="0.25">
      <c r="A21" s="440" t="s">
        <v>18</v>
      </c>
      <c r="B21" s="441">
        <f>IF(Ns5_FBack_Calc&lt;&gt;0,Ns5_FBack_Calc/Np,0)</f>
        <v>0</v>
      </c>
      <c r="C21" s="365"/>
      <c r="D21" s="376">
        <f>n5_Flyback</f>
        <v>0</v>
      </c>
      <c r="E21" s="365"/>
      <c r="F21" s="294">
        <v>0</v>
      </c>
      <c r="G21" s="345" t="s">
        <v>431</v>
      </c>
    </row>
    <row r="22" spans="1:7" x14ac:dyDescent="0.25">
      <c r="A22" s="440" t="s">
        <v>19</v>
      </c>
      <c r="B22" s="441">
        <f>IF(Ns6_FBack_Calc&lt;&gt;0,Ns6_FBack_Calc/Np,0)</f>
        <v>0</v>
      </c>
      <c r="C22" s="365"/>
      <c r="D22" s="376">
        <f>n6_Flyback</f>
        <v>0</v>
      </c>
      <c r="E22" s="365"/>
      <c r="F22" s="294">
        <v>0</v>
      </c>
      <c r="G22" s="345" t="s">
        <v>431</v>
      </c>
    </row>
    <row r="23" spans="1:7" ht="15.75" thickBot="1" x14ac:dyDescent="0.3">
      <c r="A23" s="442" t="s">
        <v>407</v>
      </c>
      <c r="B23" s="443">
        <f>IF(NsAux_FBack_Calc&lt;&gt;0,NsAux_FBack_Calc/Np,0)</f>
        <v>1.1446603773584907</v>
      </c>
      <c r="C23" s="444"/>
      <c r="D23" s="378">
        <f>nAux_Flyback</f>
        <v>1.1890000000000001</v>
      </c>
      <c r="E23" s="444"/>
      <c r="F23" s="298">
        <v>10</v>
      </c>
      <c r="G23" s="352" t="s">
        <v>431</v>
      </c>
    </row>
    <row r="24" spans="1:7" ht="15.75" thickBot="1" x14ac:dyDescent="0.3">
      <c r="A24" s="365"/>
      <c r="B24" s="451"/>
      <c r="C24" s="365"/>
      <c r="D24" s="365"/>
      <c r="E24" s="365"/>
      <c r="F24" s="365"/>
      <c r="G24" s="365"/>
    </row>
    <row r="25" spans="1:7" ht="15.75" thickBot="1" x14ac:dyDescent="0.3">
      <c r="A25" s="518" t="s">
        <v>37</v>
      </c>
      <c r="B25" s="521"/>
      <c r="C25" s="519"/>
      <c r="D25" s="365"/>
      <c r="E25" s="365"/>
      <c r="F25" s="365"/>
      <c r="G25" s="365"/>
    </row>
    <row r="26" spans="1:7" x14ac:dyDescent="0.25">
      <c r="A26" s="437" t="s">
        <v>68</v>
      </c>
      <c r="B26" s="446">
        <f>Lcalc_Flyback_crit*(10^6)</f>
        <v>5.0625</v>
      </c>
      <c r="C26" s="364" t="s">
        <v>65</v>
      </c>
      <c r="D26" s="365"/>
      <c r="E26" s="365"/>
      <c r="F26" s="365"/>
      <c r="G26" s="365"/>
    </row>
    <row r="27" spans="1:7" x14ac:dyDescent="0.25">
      <c r="A27" s="440" t="s">
        <v>69</v>
      </c>
      <c r="B27" s="294">
        <v>2.7</v>
      </c>
      <c r="C27" s="345" t="s">
        <v>65</v>
      </c>
      <c r="D27" s="365"/>
      <c r="E27" s="365"/>
      <c r="F27" s="365"/>
      <c r="G27" s="365"/>
    </row>
    <row r="28" spans="1:7" ht="15.75" thickBot="1" x14ac:dyDescent="0.3">
      <c r="A28" s="440" t="s">
        <v>456</v>
      </c>
      <c r="B28" s="294">
        <v>70</v>
      </c>
      <c r="C28" s="345" t="s">
        <v>457</v>
      </c>
      <c r="D28" s="365"/>
      <c r="E28" s="365"/>
      <c r="F28" s="365"/>
      <c r="G28" s="365"/>
    </row>
    <row r="29" spans="1:7" ht="15.75" thickBot="1" x14ac:dyDescent="0.3">
      <c r="A29" s="522" t="s">
        <v>723</v>
      </c>
      <c r="B29" s="525">
        <v>0.33</v>
      </c>
      <c r="C29" s="436" t="s">
        <v>65</v>
      </c>
      <c r="D29" s="365"/>
      <c r="E29" s="365"/>
      <c r="F29" s="365"/>
      <c r="G29" s="365"/>
    </row>
    <row r="30" spans="1:7" ht="15.75" thickBot="1" x14ac:dyDescent="0.3">
      <c r="A30" s="518" t="s">
        <v>703</v>
      </c>
      <c r="B30" s="521"/>
      <c r="C30" s="519"/>
      <c r="D30" s="365"/>
      <c r="E30" s="365"/>
      <c r="F30" s="365"/>
      <c r="G30" s="365"/>
    </row>
    <row r="31" spans="1:7" x14ac:dyDescent="0.25">
      <c r="A31" s="440" t="s">
        <v>103</v>
      </c>
      <c r="B31" s="520">
        <f>ILpeak_Max_FlyB_DCM</f>
        <v>4.0572041296678973</v>
      </c>
      <c r="C31" s="480" t="s">
        <v>6</v>
      </c>
      <c r="D31" s="365"/>
      <c r="E31" s="365"/>
      <c r="F31" s="365"/>
      <c r="G31" s="365"/>
    </row>
    <row r="32" spans="1:7" x14ac:dyDescent="0.25">
      <c r="A32" s="440" t="s">
        <v>104</v>
      </c>
      <c r="B32" s="441">
        <f>ILripple_Max_FlyB_DCM</f>
        <v>4.0572041296678973</v>
      </c>
      <c r="C32" s="449" t="s">
        <v>6</v>
      </c>
      <c r="D32" s="365"/>
      <c r="E32" s="365"/>
      <c r="F32" s="365"/>
      <c r="G32" s="365"/>
    </row>
    <row r="33" spans="1:7" ht="15.75" thickBot="1" x14ac:dyDescent="0.3">
      <c r="A33" s="442" t="s">
        <v>105</v>
      </c>
      <c r="B33" s="443">
        <f>ILrms_Max_FlyB_DCM</f>
        <v>1.4154708032657286</v>
      </c>
      <c r="C33" s="450" t="s">
        <v>6</v>
      </c>
      <c r="D33" s="365"/>
      <c r="E33" s="365"/>
      <c r="F33" s="365"/>
      <c r="G33" s="365"/>
    </row>
    <row r="34" spans="1:7" ht="15.75" thickBot="1" x14ac:dyDescent="0.3">
      <c r="A34" s="365"/>
      <c r="B34" s="451"/>
      <c r="C34" s="365"/>
      <c r="D34" s="365"/>
      <c r="E34" s="365"/>
      <c r="F34" s="365"/>
      <c r="G34" s="365"/>
    </row>
    <row r="35" spans="1:7" ht="15.75" thickBot="1" x14ac:dyDescent="0.3">
      <c r="A35" s="472" t="s">
        <v>626</v>
      </c>
      <c r="B35" s="473"/>
      <c r="C35" s="474"/>
      <c r="D35" s="475"/>
      <c r="E35" s="365"/>
      <c r="F35" s="365"/>
      <c r="G35" s="365"/>
    </row>
    <row r="36" spans="1:7" x14ac:dyDescent="0.25">
      <c r="A36" s="437" t="s">
        <v>285</v>
      </c>
      <c r="B36" s="523">
        <f>Flyback_DCM_Calc!I9</f>
        <v>0</v>
      </c>
      <c r="C36" s="408"/>
      <c r="D36" s="365"/>
      <c r="E36" s="365"/>
      <c r="F36" s="365"/>
      <c r="G36" s="365"/>
    </row>
    <row r="37" spans="1:7" x14ac:dyDescent="0.25">
      <c r="A37" s="440" t="s">
        <v>433</v>
      </c>
      <c r="B37" s="493">
        <f>Flyback_DCM_Calc!I10</f>
        <v>0</v>
      </c>
      <c r="C37" s="414"/>
      <c r="D37" s="365"/>
      <c r="E37" s="365"/>
      <c r="F37" s="365"/>
      <c r="G37" s="365"/>
    </row>
    <row r="38" spans="1:7" x14ac:dyDescent="0.25">
      <c r="A38" s="440" t="s">
        <v>434</v>
      </c>
      <c r="B38" s="493">
        <f>Flyback_DCM_Calc!I11</f>
        <v>1</v>
      </c>
      <c r="C38" s="414"/>
      <c r="D38" s="365"/>
      <c r="E38" s="365"/>
      <c r="F38" s="365"/>
      <c r="G38" s="365"/>
    </row>
    <row r="39" spans="1:7" x14ac:dyDescent="0.25">
      <c r="A39" s="440" t="s">
        <v>435</v>
      </c>
      <c r="B39" s="493">
        <f>Flyback_DCM_Calc!I12</f>
        <v>0</v>
      </c>
      <c r="C39" s="414"/>
      <c r="D39" s="365"/>
      <c r="E39" s="365"/>
      <c r="F39" s="365"/>
      <c r="G39" s="365"/>
    </row>
    <row r="40" spans="1:7" ht="15.75" thickBot="1" x14ac:dyDescent="0.3">
      <c r="A40" s="442" t="s">
        <v>527</v>
      </c>
      <c r="B40" s="526" t="s">
        <v>285</v>
      </c>
      <c r="C40" s="527"/>
      <c r="D40" s="365"/>
      <c r="E40" s="365"/>
      <c r="F40" s="365"/>
      <c r="G40" s="365"/>
    </row>
    <row r="41" spans="1:7" x14ac:dyDescent="0.25">
      <c r="E41" s="365"/>
      <c r="F41" s="365"/>
      <c r="G41" s="365"/>
    </row>
    <row r="42" spans="1:7" x14ac:dyDescent="0.25">
      <c r="A42" s="365"/>
      <c r="B42" s="451"/>
      <c r="C42" s="365"/>
      <c r="D42" s="365"/>
      <c r="E42" s="365"/>
      <c r="F42" s="365"/>
      <c r="G42" s="365"/>
    </row>
    <row r="43" spans="1:7" x14ac:dyDescent="0.25">
      <c r="A43" s="365"/>
      <c r="B43" s="451"/>
      <c r="C43" s="365"/>
      <c r="D43" s="365"/>
      <c r="E43" s="365"/>
      <c r="F43" s="365"/>
      <c r="G43" s="365"/>
    </row>
    <row r="44" spans="1:7" x14ac:dyDescent="0.25">
      <c r="A44" s="365"/>
      <c r="B44" s="451"/>
      <c r="C44" s="365"/>
      <c r="D44" s="365"/>
      <c r="E44" s="365"/>
      <c r="F44" s="365"/>
      <c r="G44" s="365"/>
    </row>
    <row r="45" spans="1:7" x14ac:dyDescent="0.25">
      <c r="A45" s="365"/>
      <c r="B45" s="451"/>
      <c r="C45" s="365"/>
      <c r="D45" s="365"/>
      <c r="E45" s="365"/>
      <c r="F45" s="365"/>
      <c r="G45" s="365"/>
    </row>
    <row r="46" spans="1:7" x14ac:dyDescent="0.25">
      <c r="A46" s="365"/>
      <c r="B46" s="451"/>
      <c r="C46" s="365"/>
      <c r="D46" s="365"/>
      <c r="E46" s="365"/>
      <c r="F46" s="365"/>
      <c r="G46" s="365"/>
    </row>
    <row r="47" spans="1:7" x14ac:dyDescent="0.25">
      <c r="A47" s="365"/>
      <c r="B47" s="451"/>
      <c r="C47" s="365"/>
      <c r="D47" s="365"/>
      <c r="E47" s="365"/>
      <c r="F47" s="365"/>
      <c r="G47" s="365"/>
    </row>
    <row r="48" spans="1:7" x14ac:dyDescent="0.25">
      <c r="A48" s="365"/>
      <c r="B48" s="451"/>
      <c r="C48" s="365"/>
      <c r="D48" s="365"/>
      <c r="E48" s="365"/>
      <c r="F48" s="365"/>
      <c r="G48" s="365"/>
    </row>
    <row r="49" spans="1:7" x14ac:dyDescent="0.25">
      <c r="A49" s="365"/>
      <c r="B49" s="451"/>
      <c r="C49" s="365"/>
      <c r="D49" s="365"/>
      <c r="E49" s="365"/>
      <c r="F49" s="365"/>
      <c r="G49" s="365"/>
    </row>
    <row r="50" spans="1:7" x14ac:dyDescent="0.25">
      <c r="A50" s="365"/>
      <c r="B50" s="451"/>
      <c r="C50" s="365"/>
      <c r="D50" s="365"/>
      <c r="E50" s="365"/>
      <c r="F50" s="365"/>
      <c r="G50" s="365"/>
    </row>
    <row r="51" spans="1:7" x14ac:dyDescent="0.25">
      <c r="A51" s="365"/>
      <c r="B51" s="451"/>
      <c r="C51" s="365"/>
      <c r="D51" s="365"/>
      <c r="E51" s="365"/>
      <c r="F51" s="365"/>
      <c r="G51" s="365"/>
    </row>
    <row r="52" spans="1:7" x14ac:dyDescent="0.25">
      <c r="A52" s="365"/>
      <c r="B52" s="451"/>
      <c r="C52" s="365"/>
      <c r="D52" s="365"/>
      <c r="E52" s="365"/>
      <c r="F52" s="365"/>
      <c r="G52" s="365"/>
    </row>
    <row r="53" spans="1:7" x14ac:dyDescent="0.25">
      <c r="A53" s="365"/>
      <c r="B53" s="451"/>
      <c r="C53" s="365"/>
      <c r="D53" s="365"/>
      <c r="E53" s="365"/>
      <c r="F53" s="365"/>
      <c r="G53" s="365"/>
    </row>
    <row r="54" spans="1:7" x14ac:dyDescent="0.25">
      <c r="A54" s="365"/>
      <c r="B54" s="451"/>
      <c r="C54" s="365"/>
      <c r="D54" s="365"/>
      <c r="E54" s="365"/>
      <c r="F54" s="365"/>
      <c r="G54" s="365"/>
    </row>
    <row r="55" spans="1:7" x14ac:dyDescent="0.25">
      <c r="A55" s="365"/>
      <c r="B55" s="451"/>
      <c r="C55" s="365"/>
      <c r="D55" s="365"/>
      <c r="E55" s="365"/>
      <c r="F55" s="365"/>
      <c r="G55" s="365"/>
    </row>
    <row r="56" spans="1:7" x14ac:dyDescent="0.25">
      <c r="A56" s="365"/>
      <c r="B56" s="451"/>
      <c r="C56" s="365"/>
      <c r="D56" s="365"/>
      <c r="E56" s="365"/>
      <c r="F56" s="365"/>
      <c r="G56" s="365"/>
    </row>
    <row r="57" spans="1:7" x14ac:dyDescent="0.25">
      <c r="A57" s="365"/>
      <c r="B57" s="451"/>
      <c r="C57" s="365"/>
      <c r="D57" s="365"/>
      <c r="E57" s="365"/>
      <c r="F57" s="365"/>
      <c r="G57" s="365"/>
    </row>
    <row r="58" spans="1:7" x14ac:dyDescent="0.25">
      <c r="A58" s="365"/>
      <c r="B58" s="451"/>
      <c r="C58" s="365"/>
      <c r="D58" s="365"/>
      <c r="E58" s="365"/>
      <c r="F58" s="365"/>
      <c r="G58" s="365"/>
    </row>
    <row r="59" spans="1:7" x14ac:dyDescent="0.25">
      <c r="A59" s="365"/>
      <c r="B59" s="451"/>
      <c r="C59" s="365"/>
      <c r="D59" s="365"/>
      <c r="E59" s="365"/>
      <c r="F59" s="365"/>
      <c r="G59" s="365"/>
    </row>
    <row r="60" spans="1:7" x14ac:dyDescent="0.25">
      <c r="A60" s="365"/>
      <c r="B60" s="451"/>
      <c r="C60" s="365"/>
      <c r="D60" s="365"/>
      <c r="E60" s="365"/>
      <c r="F60" s="365"/>
      <c r="G60" s="365"/>
    </row>
    <row r="61" spans="1:7" ht="15.75" thickBot="1" x14ac:dyDescent="0.3">
      <c r="A61" s="365"/>
      <c r="B61" s="451"/>
      <c r="C61" s="365"/>
      <c r="D61" s="365"/>
      <c r="E61" s="365"/>
      <c r="F61" s="365"/>
      <c r="G61" s="365"/>
    </row>
    <row r="62" spans="1:7" ht="15.75" thickBot="1" x14ac:dyDescent="0.3">
      <c r="A62" s="472" t="s">
        <v>851</v>
      </c>
      <c r="B62" s="473"/>
      <c r="C62" s="474"/>
    </row>
    <row r="63" spans="1:7" x14ac:dyDescent="0.25">
      <c r="A63" s="437" t="s">
        <v>796</v>
      </c>
      <c r="B63" s="514">
        <v>6</v>
      </c>
      <c r="C63" s="364" t="s">
        <v>6</v>
      </c>
    </row>
    <row r="64" spans="1:7" x14ac:dyDescent="0.25">
      <c r="A64" s="440" t="s">
        <v>733</v>
      </c>
      <c r="B64" s="451">
        <f>IF(Flyback_DCM_Calc!B73&lt;&gt;12,Flyback_DCM_Calc!B89*1000/'Flyback DCM'!B63,50)</f>
        <v>83.333333333333329</v>
      </c>
      <c r="C64" s="345" t="s">
        <v>431</v>
      </c>
    </row>
    <row r="65" spans="1:3" x14ac:dyDescent="0.25">
      <c r="A65" s="440" t="s">
        <v>730</v>
      </c>
      <c r="B65" s="515">
        <v>83</v>
      </c>
      <c r="C65" s="345" t="s">
        <v>431</v>
      </c>
    </row>
    <row r="66" spans="1:3" ht="15.75" thickBot="1" x14ac:dyDescent="0.3">
      <c r="A66" s="442" t="s">
        <v>734</v>
      </c>
      <c r="B66" s="495">
        <f>IF(Flyback_DCM_Calc!B73&lt;&gt;12,Flyback_DCM_Calc!B89/('Flyback DCM'!B65/1000),0.8)</f>
        <v>6.0240963855421681</v>
      </c>
      <c r="C66" s="352" t="s">
        <v>6</v>
      </c>
    </row>
    <row r="67" spans="1:3" ht="15.75" thickBot="1" x14ac:dyDescent="0.3"/>
    <row r="68" spans="1:3" ht="15.75" thickBot="1" x14ac:dyDescent="0.3">
      <c r="A68" s="518" t="s">
        <v>634</v>
      </c>
      <c r="B68" s="521"/>
      <c r="C68" s="519"/>
    </row>
    <row r="69" spans="1:3" x14ac:dyDescent="0.25">
      <c r="A69" s="496" t="s">
        <v>635</v>
      </c>
      <c r="B69" s="293">
        <v>100</v>
      </c>
      <c r="C69" s="480" t="s">
        <v>5</v>
      </c>
    </row>
    <row r="70" spans="1:3" x14ac:dyDescent="0.25">
      <c r="A70" s="497" t="s">
        <v>636</v>
      </c>
      <c r="B70" s="294">
        <v>5</v>
      </c>
      <c r="C70" s="498" t="s">
        <v>431</v>
      </c>
    </row>
    <row r="71" spans="1:3" x14ac:dyDescent="0.25">
      <c r="A71" s="497" t="s">
        <v>637</v>
      </c>
      <c r="B71" s="294">
        <v>50</v>
      </c>
      <c r="C71" s="449" t="s">
        <v>638</v>
      </c>
    </row>
    <row r="72" spans="1:3" ht="15.75" thickBot="1" x14ac:dyDescent="0.3">
      <c r="A72" s="499" t="s">
        <v>724</v>
      </c>
      <c r="B72" s="298">
        <v>1</v>
      </c>
      <c r="C72" s="450" t="s">
        <v>454</v>
      </c>
    </row>
    <row r="73" spans="1:3" ht="15.75" thickBot="1" x14ac:dyDescent="0.3"/>
    <row r="74" spans="1:3" ht="15.75" thickBot="1" x14ac:dyDescent="0.3">
      <c r="A74" s="518" t="s">
        <v>462</v>
      </c>
      <c r="B74" s="521"/>
      <c r="C74" s="519"/>
    </row>
    <row r="75" spans="1:3" x14ac:dyDescent="0.25">
      <c r="A75" s="496" t="s">
        <v>725</v>
      </c>
      <c r="B75" s="293">
        <v>100</v>
      </c>
      <c r="C75" s="480" t="s">
        <v>5</v>
      </c>
    </row>
    <row r="76" spans="1:3" x14ac:dyDescent="0.25">
      <c r="A76" s="497" t="s">
        <v>477</v>
      </c>
      <c r="B76" s="376">
        <f>Vclamp_Flyback_DCM-VinMin</f>
        <v>91</v>
      </c>
      <c r="C76" s="449" t="s">
        <v>5</v>
      </c>
    </row>
    <row r="77" spans="1:3" x14ac:dyDescent="0.25">
      <c r="A77" s="497" t="s">
        <v>726</v>
      </c>
      <c r="B77" s="294">
        <v>50</v>
      </c>
      <c r="C77" s="449" t="s">
        <v>288</v>
      </c>
    </row>
    <row r="78" spans="1:3" x14ac:dyDescent="0.25">
      <c r="A78" s="497" t="s">
        <v>727</v>
      </c>
      <c r="B78" s="489">
        <f>Flyback_DCM_Calc!B66/1000</f>
        <v>9.2149824818644834</v>
      </c>
      <c r="C78" s="449" t="s">
        <v>483</v>
      </c>
    </row>
    <row r="79" spans="1:3" x14ac:dyDescent="0.25">
      <c r="A79" s="497" t="s">
        <v>728</v>
      </c>
      <c r="B79" s="294">
        <v>4.72</v>
      </c>
      <c r="C79" s="449" t="s">
        <v>483</v>
      </c>
    </row>
    <row r="80" spans="1:3" x14ac:dyDescent="0.25">
      <c r="A80" s="497" t="s">
        <v>729</v>
      </c>
      <c r="B80" s="524">
        <f>Flyback_DCM_Calc!B69*(10^6)</f>
        <v>1.2853107344632768</v>
      </c>
      <c r="C80" s="449" t="s">
        <v>393</v>
      </c>
    </row>
    <row r="81" spans="1:14" x14ac:dyDescent="0.25">
      <c r="A81" s="497" t="s">
        <v>430</v>
      </c>
      <c r="B81" s="294">
        <v>3</v>
      </c>
      <c r="C81" s="449" t="s">
        <v>393</v>
      </c>
    </row>
    <row r="82" spans="1:14" ht="15.75" thickBot="1" x14ac:dyDescent="0.3">
      <c r="A82" s="499" t="s">
        <v>485</v>
      </c>
      <c r="B82" s="490">
        <f>Flyback_DCM_Calc!B71*1000</f>
        <v>21.421845574387948</v>
      </c>
      <c r="C82" s="450" t="s">
        <v>288</v>
      </c>
    </row>
    <row r="85" spans="1:14" x14ac:dyDescent="0.25">
      <c r="I85" s="365"/>
      <c r="J85" s="365"/>
      <c r="K85" s="365"/>
      <c r="L85" s="365"/>
      <c r="M85" s="365"/>
      <c r="N85" s="365"/>
    </row>
    <row r="86" spans="1:14" x14ac:dyDescent="0.25">
      <c r="I86" s="365"/>
      <c r="J86" s="365"/>
      <c r="K86" s="365"/>
      <c r="L86" s="365"/>
      <c r="M86" s="365"/>
      <c r="N86" s="365"/>
    </row>
    <row r="87" spans="1:14" x14ac:dyDescent="0.25">
      <c r="I87" s="365"/>
      <c r="J87" s="365"/>
      <c r="K87" s="365"/>
      <c r="L87" s="365"/>
      <c r="M87" s="365"/>
      <c r="N87" s="365"/>
    </row>
    <row r="88" spans="1:14" x14ac:dyDescent="0.25">
      <c r="I88" s="365"/>
      <c r="J88" s="365"/>
      <c r="K88" s="365"/>
      <c r="L88" s="365"/>
      <c r="M88" s="365"/>
      <c r="N88" s="365"/>
    </row>
    <row r="89" spans="1:14" x14ac:dyDescent="0.25">
      <c r="I89" s="365"/>
      <c r="J89" s="365"/>
      <c r="K89" s="365"/>
      <c r="L89" s="365"/>
      <c r="M89" s="365"/>
      <c r="N89" s="365"/>
    </row>
    <row r="90" spans="1:14" x14ac:dyDescent="0.25">
      <c r="I90" s="365"/>
      <c r="J90" s="365"/>
      <c r="K90" s="365"/>
      <c r="L90" s="365"/>
      <c r="M90" s="365"/>
      <c r="N90" s="365"/>
    </row>
    <row r="91" spans="1:14" x14ac:dyDescent="0.25">
      <c r="I91" s="365"/>
      <c r="J91" s="365"/>
      <c r="K91" s="365"/>
      <c r="L91" s="365"/>
      <c r="M91" s="365"/>
      <c r="N91" s="365"/>
    </row>
    <row r="92" spans="1:14" x14ac:dyDescent="0.25">
      <c r="I92" s="365"/>
      <c r="J92" s="365"/>
      <c r="K92" s="365"/>
      <c r="L92" s="365"/>
      <c r="M92" s="365"/>
      <c r="N92" s="365"/>
    </row>
    <row r="93" spans="1:14" x14ac:dyDescent="0.25">
      <c r="I93" s="365"/>
      <c r="J93" s="365"/>
      <c r="K93" s="365"/>
      <c r="L93" s="365"/>
      <c r="M93" s="365"/>
      <c r="N93" s="365"/>
    </row>
    <row r="99" spans="1:14" x14ac:dyDescent="0.25">
      <c r="I99" s="379"/>
      <c r="J99" s="379"/>
      <c r="K99" s="379"/>
      <c r="L99" s="379"/>
      <c r="M99" s="379"/>
      <c r="N99" s="379"/>
    </row>
    <row r="100" spans="1:14" x14ac:dyDescent="0.25">
      <c r="I100" s="365"/>
      <c r="J100" s="365"/>
      <c r="K100" s="365"/>
      <c r="L100" s="365"/>
      <c r="M100" s="365"/>
      <c r="N100" s="365"/>
    </row>
    <row r="101" spans="1:14" x14ac:dyDescent="0.25">
      <c r="I101" s="365"/>
      <c r="J101" s="365"/>
      <c r="K101" s="365"/>
      <c r="L101" s="365"/>
      <c r="M101" s="365"/>
      <c r="N101" s="365"/>
    </row>
    <row r="102" spans="1:14" x14ac:dyDescent="0.25">
      <c r="I102" s="365"/>
      <c r="J102" s="365"/>
      <c r="K102" s="365"/>
      <c r="L102" s="365"/>
      <c r="M102" s="365"/>
      <c r="N102" s="365"/>
    </row>
    <row r="103" spans="1:14" x14ac:dyDescent="0.25">
      <c r="I103" s="365"/>
      <c r="J103" s="365"/>
      <c r="K103" s="365"/>
      <c r="L103" s="365"/>
      <c r="M103" s="365"/>
      <c r="N103" s="365"/>
    </row>
    <row r="104" spans="1:14" x14ac:dyDescent="0.25">
      <c r="I104" s="365"/>
      <c r="J104" s="365"/>
      <c r="K104" s="365"/>
      <c r="L104" s="365"/>
      <c r="M104" s="365"/>
      <c r="N104" s="365"/>
    </row>
    <row r="105" spans="1:14" x14ac:dyDescent="0.25">
      <c r="I105" s="365"/>
      <c r="J105" s="365"/>
      <c r="K105" s="365"/>
      <c r="L105" s="365"/>
      <c r="M105" s="365"/>
      <c r="N105" s="365"/>
    </row>
    <row r="106" spans="1:14" x14ac:dyDescent="0.25">
      <c r="A106" s="365"/>
      <c r="B106" s="462"/>
      <c r="C106" s="365"/>
      <c r="I106" s="365"/>
      <c r="J106" s="365"/>
      <c r="K106" s="365"/>
      <c r="L106" s="365"/>
      <c r="M106" s="365"/>
      <c r="N106" s="365"/>
    </row>
    <row r="107" spans="1:14" x14ac:dyDescent="0.25">
      <c r="A107" s="365"/>
      <c r="B107" s="462"/>
      <c r="C107" s="365"/>
      <c r="I107" s="365"/>
      <c r="J107" s="365"/>
      <c r="K107" s="365"/>
      <c r="L107" s="365"/>
      <c r="M107" s="365"/>
      <c r="N107" s="365"/>
    </row>
    <row r="108" spans="1:14" x14ac:dyDescent="0.25">
      <c r="A108" s="365"/>
      <c r="B108" s="462"/>
      <c r="C108" s="365"/>
      <c r="I108" s="365"/>
      <c r="J108" s="365"/>
      <c r="K108" s="365"/>
      <c r="L108" s="365"/>
      <c r="M108" s="365"/>
      <c r="N108" s="365"/>
    </row>
    <row r="109" spans="1:14" x14ac:dyDescent="0.25">
      <c r="A109" s="365"/>
      <c r="B109" s="462"/>
      <c r="C109" s="365"/>
      <c r="I109" s="365"/>
      <c r="J109" s="365"/>
      <c r="K109" s="365"/>
      <c r="L109" s="365"/>
      <c r="M109" s="365"/>
      <c r="N109" s="365"/>
    </row>
    <row r="110" spans="1:14" x14ac:dyDescent="0.25">
      <c r="A110" s="365"/>
      <c r="B110" s="462"/>
      <c r="C110" s="365"/>
      <c r="I110" s="365"/>
      <c r="J110" s="365"/>
      <c r="K110" s="365"/>
      <c r="L110" s="365"/>
      <c r="M110" s="365"/>
      <c r="N110" s="365"/>
    </row>
    <row r="111" spans="1:14" x14ac:dyDescent="0.25">
      <c r="A111" s="365"/>
      <c r="B111" s="462"/>
      <c r="C111" s="365"/>
      <c r="I111" s="365"/>
      <c r="J111" s="365"/>
      <c r="K111" s="365"/>
      <c r="L111" s="365"/>
      <c r="M111" s="365"/>
      <c r="N111" s="365"/>
    </row>
    <row r="112" spans="1:14" x14ac:dyDescent="0.25">
      <c r="A112" s="365"/>
      <c r="B112" s="462"/>
      <c r="C112" s="365"/>
      <c r="I112" s="365"/>
      <c r="J112" s="365"/>
      <c r="K112" s="365"/>
      <c r="L112" s="365"/>
      <c r="M112" s="365"/>
      <c r="N112" s="365"/>
    </row>
    <row r="113" spans="1:14" x14ac:dyDescent="0.25">
      <c r="A113" s="365"/>
      <c r="B113" s="462"/>
      <c r="C113" s="365"/>
      <c r="I113" s="365"/>
      <c r="J113" s="365"/>
      <c r="K113" s="365"/>
      <c r="L113" s="365"/>
      <c r="M113" s="365"/>
      <c r="N113" s="365"/>
    </row>
    <row r="114" spans="1:14" x14ac:dyDescent="0.25">
      <c r="A114" s="365"/>
      <c r="B114" s="462"/>
      <c r="C114" s="365"/>
      <c r="I114" s="365"/>
      <c r="J114" s="365"/>
      <c r="K114" s="365"/>
      <c r="L114" s="365"/>
      <c r="M114" s="365"/>
      <c r="N114" s="365"/>
    </row>
    <row r="115" spans="1:14" x14ac:dyDescent="0.25">
      <c r="I115" s="365"/>
      <c r="J115" s="365"/>
      <c r="K115" s="365"/>
      <c r="L115" s="365"/>
      <c r="M115" s="365"/>
      <c r="N115" s="365"/>
    </row>
    <row r="116" spans="1:14" x14ac:dyDescent="0.25">
      <c r="I116" s="365"/>
      <c r="J116" s="365"/>
      <c r="K116" s="365"/>
      <c r="L116" s="365"/>
      <c r="M116" s="365"/>
      <c r="N116" s="365"/>
    </row>
    <row r="117" spans="1:14" x14ac:dyDescent="0.25">
      <c r="I117" s="365"/>
      <c r="J117" s="365"/>
      <c r="K117" s="365"/>
      <c r="L117" s="365"/>
      <c r="M117" s="365"/>
      <c r="N117" s="365"/>
    </row>
    <row r="118" spans="1:14" x14ac:dyDescent="0.25">
      <c r="I118" s="365"/>
      <c r="J118" s="365"/>
      <c r="K118" s="365"/>
      <c r="L118" s="365"/>
      <c r="M118" s="365"/>
      <c r="N118" s="365"/>
    </row>
    <row r="119" spans="1:14" x14ac:dyDescent="0.25">
      <c r="I119" s="365"/>
      <c r="J119" s="365"/>
      <c r="K119" s="365"/>
      <c r="L119" s="365"/>
      <c r="M119" s="365"/>
      <c r="N119" s="365"/>
    </row>
    <row r="120" spans="1:14" x14ac:dyDescent="0.25">
      <c r="I120" s="365"/>
      <c r="J120" s="365"/>
      <c r="K120" s="365"/>
      <c r="L120" s="365"/>
      <c r="M120" s="365"/>
      <c r="N120" s="365"/>
    </row>
    <row r="121" spans="1:14" x14ac:dyDescent="0.25">
      <c r="I121" s="365"/>
      <c r="J121" s="365"/>
      <c r="K121" s="365"/>
      <c r="L121" s="365"/>
      <c r="M121" s="365"/>
      <c r="N121" s="365"/>
    </row>
    <row r="122" spans="1:14" x14ac:dyDescent="0.25">
      <c r="I122" s="365"/>
      <c r="J122" s="365"/>
      <c r="K122" s="365"/>
      <c r="L122" s="365"/>
      <c r="M122" s="365"/>
      <c r="N122" s="365"/>
    </row>
    <row r="123" spans="1:14" x14ac:dyDescent="0.25">
      <c r="I123" s="365"/>
      <c r="J123" s="365"/>
      <c r="K123" s="365"/>
      <c r="L123" s="365"/>
      <c r="M123" s="365"/>
      <c r="N123" s="365"/>
    </row>
    <row r="124" spans="1:14" x14ac:dyDescent="0.25">
      <c r="I124" s="365"/>
      <c r="J124" s="365"/>
      <c r="K124" s="365"/>
      <c r="L124" s="365"/>
      <c r="M124" s="365"/>
      <c r="N124" s="365"/>
    </row>
    <row r="125" spans="1:14" x14ac:dyDescent="0.25">
      <c r="I125" s="365"/>
      <c r="J125" s="365"/>
      <c r="K125" s="365"/>
      <c r="L125" s="365"/>
      <c r="M125" s="365"/>
      <c r="N125" s="365"/>
    </row>
    <row r="126" spans="1:14" ht="15.75" thickBot="1" x14ac:dyDescent="0.3">
      <c r="I126" s="365"/>
      <c r="J126" s="365"/>
      <c r="K126" s="365"/>
      <c r="L126" s="365"/>
      <c r="M126" s="365"/>
      <c r="N126" s="365"/>
    </row>
    <row r="127" spans="1:14" ht="15.75" thickBot="1" x14ac:dyDescent="0.3">
      <c r="A127" s="518" t="s">
        <v>715</v>
      </c>
      <c r="B127" s="521"/>
      <c r="C127" s="519"/>
      <c r="I127" s="365"/>
      <c r="J127" s="365"/>
      <c r="K127" s="365"/>
      <c r="L127" s="365"/>
      <c r="M127" s="365"/>
      <c r="N127" s="365"/>
    </row>
    <row r="128" spans="1:14" x14ac:dyDescent="0.25">
      <c r="A128" s="440" t="s">
        <v>716</v>
      </c>
      <c r="B128" s="500">
        <f>Flyback_DCM_Calc!B56</f>
        <v>33.271999999999998</v>
      </c>
      <c r="C128" s="345" t="s">
        <v>5</v>
      </c>
      <c r="I128" s="365"/>
      <c r="J128" s="365"/>
      <c r="K128" s="365"/>
      <c r="L128" s="365"/>
      <c r="M128" s="365"/>
      <c r="N128" s="365"/>
    </row>
    <row r="129" spans="1:3" x14ac:dyDescent="0.25">
      <c r="A129" s="440" t="s">
        <v>717</v>
      </c>
      <c r="B129" s="376">
        <f>Flyback_DCM_Calc!B57</f>
        <v>33.271999999999998</v>
      </c>
      <c r="C129" s="345" t="s">
        <v>5</v>
      </c>
    </row>
    <row r="130" spans="1:3" x14ac:dyDescent="0.25">
      <c r="A130" s="440" t="s">
        <v>718</v>
      </c>
      <c r="B130" s="376">
        <f>Flyback_DCM_Calc!B58</f>
        <v>0</v>
      </c>
      <c r="C130" s="345" t="s">
        <v>5</v>
      </c>
    </row>
    <row r="131" spans="1:3" x14ac:dyDescent="0.25">
      <c r="A131" s="440" t="s">
        <v>719</v>
      </c>
      <c r="B131" s="376">
        <f>Flyback_DCM_Calc!B59</f>
        <v>0</v>
      </c>
      <c r="C131" s="345" t="s">
        <v>5</v>
      </c>
    </row>
    <row r="132" spans="1:3" x14ac:dyDescent="0.25">
      <c r="A132" s="440" t="s">
        <v>720</v>
      </c>
      <c r="B132" s="376">
        <f>Flyback_DCM_Calc!B60</f>
        <v>0</v>
      </c>
      <c r="C132" s="345" t="s">
        <v>5</v>
      </c>
    </row>
    <row r="133" spans="1:3" x14ac:dyDescent="0.25">
      <c r="A133" s="440" t="s">
        <v>721</v>
      </c>
      <c r="B133" s="376">
        <f>Flyback_DCM_Calc!B61</f>
        <v>0</v>
      </c>
      <c r="C133" s="345" t="s">
        <v>5</v>
      </c>
    </row>
    <row r="134" spans="1:3" ht="15.75" thickBot="1" x14ac:dyDescent="0.3">
      <c r="A134" s="442" t="s">
        <v>722</v>
      </c>
      <c r="B134" s="378">
        <f>Flyback_DCM_Calc!B62</f>
        <v>67.072000000000003</v>
      </c>
      <c r="C134" s="352" t="s">
        <v>5</v>
      </c>
    </row>
    <row r="135" spans="1:3" ht="15.75" thickBot="1" x14ac:dyDescent="0.3"/>
    <row r="136" spans="1:3" ht="15.75" thickBot="1" x14ac:dyDescent="0.3">
      <c r="A136" s="518" t="s">
        <v>296</v>
      </c>
      <c r="B136" s="521"/>
      <c r="C136" s="519"/>
    </row>
    <row r="137" spans="1:3" x14ac:dyDescent="0.25">
      <c r="A137" s="440" t="s">
        <v>306</v>
      </c>
      <c r="B137" s="479">
        <f>Flyback_DCM_Calc!B41*(10^6)</f>
        <v>12.171612389003691</v>
      </c>
      <c r="C137" s="480" t="s">
        <v>393</v>
      </c>
    </row>
    <row r="138" spans="1:3" x14ac:dyDescent="0.25">
      <c r="A138" s="440" t="s">
        <v>307</v>
      </c>
      <c r="B138" s="294">
        <v>20</v>
      </c>
      <c r="C138" s="449" t="s">
        <v>393</v>
      </c>
    </row>
    <row r="139" spans="1:3" ht="15.75" thickBot="1" x14ac:dyDescent="0.3">
      <c r="A139" s="442" t="s">
        <v>704</v>
      </c>
      <c r="B139" s="298">
        <v>10</v>
      </c>
      <c r="C139" s="450" t="s">
        <v>431</v>
      </c>
    </row>
    <row r="140" spans="1:3" x14ac:dyDescent="0.25">
      <c r="A140" s="437" t="s">
        <v>308</v>
      </c>
      <c r="B140" s="446">
        <f>Flyback_DCM_Calc!B43*(10^6)</f>
        <v>12.171612389003691</v>
      </c>
      <c r="C140" s="448" t="s">
        <v>393</v>
      </c>
    </row>
    <row r="141" spans="1:3" x14ac:dyDescent="0.25">
      <c r="A141" s="440" t="s">
        <v>309</v>
      </c>
      <c r="B141" s="294">
        <v>20</v>
      </c>
      <c r="C141" s="449" t="s">
        <v>393</v>
      </c>
    </row>
    <row r="142" spans="1:3" ht="15.75" thickBot="1" x14ac:dyDescent="0.3">
      <c r="A142" s="442" t="s">
        <v>705</v>
      </c>
      <c r="B142" s="298">
        <v>10</v>
      </c>
      <c r="C142" s="450" t="s">
        <v>431</v>
      </c>
    </row>
    <row r="143" spans="1:3" x14ac:dyDescent="0.25">
      <c r="A143" s="437" t="s">
        <v>310</v>
      </c>
      <c r="B143" s="446">
        <f>Flyback_DCM_Calc!B45*(10^6)</f>
        <v>0</v>
      </c>
      <c r="C143" s="448" t="s">
        <v>393</v>
      </c>
    </row>
    <row r="144" spans="1:3" x14ac:dyDescent="0.25">
      <c r="A144" s="440" t="s">
        <v>311</v>
      </c>
      <c r="B144" s="294">
        <v>0</v>
      </c>
      <c r="C144" s="449" t="s">
        <v>393</v>
      </c>
    </row>
    <row r="145" spans="1:14" ht="15.75" thickBot="1" x14ac:dyDescent="0.3">
      <c r="A145" s="442" t="s">
        <v>706</v>
      </c>
      <c r="B145" s="298">
        <v>10</v>
      </c>
      <c r="C145" s="450" t="s">
        <v>431</v>
      </c>
    </row>
    <row r="146" spans="1:14" x14ac:dyDescent="0.25">
      <c r="A146" s="437" t="s">
        <v>312</v>
      </c>
      <c r="B146" s="446">
        <f>Flyback_DCM_Calc!B47*(10^6)</f>
        <v>0</v>
      </c>
      <c r="C146" s="448" t="s">
        <v>393</v>
      </c>
    </row>
    <row r="147" spans="1:14" x14ac:dyDescent="0.25">
      <c r="A147" s="440" t="s">
        <v>313</v>
      </c>
      <c r="B147" s="294">
        <v>0</v>
      </c>
      <c r="C147" s="449" t="s">
        <v>393</v>
      </c>
    </row>
    <row r="148" spans="1:14" ht="15.75" thickBot="1" x14ac:dyDescent="0.3">
      <c r="A148" s="442" t="s">
        <v>707</v>
      </c>
      <c r="B148" s="298">
        <v>10</v>
      </c>
      <c r="C148" s="450" t="s">
        <v>431</v>
      </c>
    </row>
    <row r="149" spans="1:14" x14ac:dyDescent="0.25">
      <c r="A149" s="437" t="s">
        <v>314</v>
      </c>
      <c r="B149" s="446">
        <f>Flyback_DCM_Calc!B49*(10^6)</f>
        <v>0</v>
      </c>
      <c r="C149" s="448" t="s">
        <v>393</v>
      </c>
    </row>
    <row r="150" spans="1:14" x14ac:dyDescent="0.25">
      <c r="A150" s="440" t="s">
        <v>315</v>
      </c>
      <c r="B150" s="294">
        <v>0</v>
      </c>
      <c r="C150" s="449" t="s">
        <v>393</v>
      </c>
    </row>
    <row r="151" spans="1:14" ht="15.75" thickBot="1" x14ac:dyDescent="0.3">
      <c r="A151" s="442" t="s">
        <v>708</v>
      </c>
      <c r="B151" s="298">
        <v>10</v>
      </c>
      <c r="C151" s="450" t="s">
        <v>431</v>
      </c>
    </row>
    <row r="152" spans="1:14" x14ac:dyDescent="0.25">
      <c r="A152" s="437" t="s">
        <v>316</v>
      </c>
      <c r="B152" s="446">
        <f>Flyback_DCM_Calc!B51*(10^6)</f>
        <v>0</v>
      </c>
      <c r="C152" s="448" t="s">
        <v>393</v>
      </c>
      <c r="I152" s="365"/>
      <c r="J152" s="365"/>
      <c r="K152" s="365"/>
      <c r="L152" s="365"/>
      <c r="M152" s="365"/>
      <c r="N152" s="365"/>
    </row>
    <row r="153" spans="1:14" x14ac:dyDescent="0.25">
      <c r="A153" s="440" t="s">
        <v>317</v>
      </c>
      <c r="B153" s="294">
        <v>0</v>
      </c>
      <c r="C153" s="449" t="s">
        <v>393</v>
      </c>
      <c r="I153" s="365"/>
      <c r="J153" s="365"/>
      <c r="K153" s="365"/>
      <c r="L153" s="365"/>
      <c r="M153" s="365"/>
      <c r="N153" s="365"/>
    </row>
    <row r="154" spans="1:14" ht="15.75" thickBot="1" x14ac:dyDescent="0.3">
      <c r="A154" s="442" t="s">
        <v>709</v>
      </c>
      <c r="B154" s="298">
        <v>10</v>
      </c>
      <c r="C154" s="450" t="s">
        <v>431</v>
      </c>
      <c r="I154" s="365"/>
      <c r="J154" s="365"/>
      <c r="K154" s="379"/>
      <c r="L154" s="379"/>
      <c r="M154" s="379"/>
      <c r="N154" s="379"/>
    </row>
    <row r="155" spans="1:14" x14ac:dyDescent="0.25">
      <c r="A155" s="437" t="s">
        <v>711</v>
      </c>
      <c r="B155" s="446">
        <f>Flyback_DCM_Calc!B53*(10^6)</f>
        <v>2.4343224778007384</v>
      </c>
      <c r="C155" s="448" t="s">
        <v>393</v>
      </c>
      <c r="I155" s="365"/>
      <c r="J155" s="365"/>
      <c r="K155" s="365"/>
      <c r="L155" s="365"/>
      <c r="M155" s="365"/>
      <c r="N155" s="365"/>
    </row>
    <row r="156" spans="1:14" x14ac:dyDescent="0.25">
      <c r="A156" s="440" t="s">
        <v>712</v>
      </c>
      <c r="B156" s="294">
        <v>4</v>
      </c>
      <c r="C156" s="449" t="s">
        <v>393</v>
      </c>
      <c r="I156" s="365"/>
      <c r="J156" s="365"/>
      <c r="K156" s="365"/>
      <c r="L156" s="365"/>
      <c r="M156" s="365"/>
      <c r="N156" s="365"/>
    </row>
    <row r="157" spans="1:14" ht="15.75" thickBot="1" x14ac:dyDescent="0.3">
      <c r="A157" s="442" t="s">
        <v>710</v>
      </c>
      <c r="B157" s="298">
        <v>10</v>
      </c>
      <c r="C157" s="450" t="s">
        <v>431</v>
      </c>
      <c r="I157" s="365"/>
      <c r="J157" s="365"/>
      <c r="K157" s="365"/>
      <c r="L157" s="365"/>
      <c r="M157" s="365"/>
      <c r="N157" s="365"/>
    </row>
    <row r="158" spans="1:14" x14ac:dyDescent="0.25">
      <c r="I158" s="365"/>
      <c r="J158" s="365"/>
      <c r="K158" s="365"/>
      <c r="L158" s="365"/>
      <c r="M158" s="365"/>
      <c r="N158" s="365"/>
    </row>
    <row r="159" spans="1:14" x14ac:dyDescent="0.25">
      <c r="I159" s="365"/>
      <c r="J159" s="365"/>
      <c r="K159" s="365"/>
      <c r="L159" s="365"/>
      <c r="M159" s="365"/>
      <c r="N159" s="365"/>
    </row>
    <row r="160" spans="1:14" x14ac:dyDescent="0.25">
      <c r="I160" s="365"/>
      <c r="J160" s="365"/>
      <c r="K160" s="365"/>
      <c r="L160" s="365"/>
      <c r="M160" s="365"/>
      <c r="N160" s="365"/>
    </row>
    <row r="161" spans="1:14" x14ac:dyDescent="0.25">
      <c r="A161" s="481" t="s">
        <v>852</v>
      </c>
      <c r="B161" s="481"/>
      <c r="C161" s="481"/>
      <c r="D161" s="481"/>
      <c r="I161" s="365"/>
      <c r="J161" s="365"/>
      <c r="K161" s="365"/>
      <c r="L161" s="365"/>
      <c r="M161" s="365"/>
      <c r="N161" s="365"/>
    </row>
    <row r="162" spans="1:14" x14ac:dyDescent="0.25">
      <c r="A162" s="481"/>
      <c r="B162" s="481"/>
      <c r="C162" s="481"/>
      <c r="D162" s="481"/>
      <c r="I162" s="365"/>
      <c r="J162" s="365"/>
      <c r="K162" s="365"/>
      <c r="L162" s="365"/>
      <c r="M162" s="365"/>
      <c r="N162" s="365"/>
    </row>
    <row r="163" spans="1:14" x14ac:dyDescent="0.25">
      <c r="A163" s="340" t="s">
        <v>735</v>
      </c>
    </row>
    <row r="180" spans="1:3" ht="15.75" thickBot="1" x14ac:dyDescent="0.3"/>
    <row r="181" spans="1:3" ht="15.75" thickBot="1" x14ac:dyDescent="0.3">
      <c r="A181" s="518" t="s">
        <v>799</v>
      </c>
      <c r="B181" s="521"/>
      <c r="C181" s="519"/>
    </row>
    <row r="182" spans="1:3" x14ac:dyDescent="0.25">
      <c r="A182" s="501" t="s">
        <v>688</v>
      </c>
      <c r="B182" s="363"/>
      <c r="C182" s="448"/>
    </row>
    <row r="183" spans="1:3" x14ac:dyDescent="0.25">
      <c r="A183" s="497" t="s">
        <v>689</v>
      </c>
      <c r="B183" s="294">
        <v>1</v>
      </c>
      <c r="C183" s="449" t="s">
        <v>8</v>
      </c>
    </row>
    <row r="184" spans="1:3" x14ac:dyDescent="0.25">
      <c r="A184" s="497" t="s">
        <v>690</v>
      </c>
      <c r="B184" s="376">
        <f>Flyback_DCM_Calc!B112/(2*PI())/1000/10</f>
        <v>79.577471545947674</v>
      </c>
      <c r="C184" s="449" t="s">
        <v>8</v>
      </c>
    </row>
    <row r="185" spans="1:3" x14ac:dyDescent="0.25">
      <c r="A185" s="497" t="s">
        <v>691</v>
      </c>
      <c r="B185" s="294">
        <v>50</v>
      </c>
      <c r="C185" s="449" t="s">
        <v>8</v>
      </c>
    </row>
    <row r="186" spans="1:3" x14ac:dyDescent="0.25">
      <c r="A186" s="497" t="s">
        <v>696</v>
      </c>
      <c r="B186" s="376">
        <f>Flyback_DCM_Calc!B111/(2*PI())/1000</f>
        <v>1.5915494309189535</v>
      </c>
      <c r="C186" s="449" t="s">
        <v>8</v>
      </c>
    </row>
    <row r="187" spans="1:3" ht="15.75" thickBot="1" x14ac:dyDescent="0.3">
      <c r="A187" s="499" t="s">
        <v>697</v>
      </c>
      <c r="B187" s="298">
        <v>0.66314600000000001</v>
      </c>
      <c r="C187" s="450" t="s">
        <v>8</v>
      </c>
    </row>
    <row r="188" spans="1:3" ht="15.75" thickBot="1" x14ac:dyDescent="0.3"/>
    <row r="189" spans="1:3" ht="15.75" thickBot="1" x14ac:dyDescent="0.3">
      <c r="A189" s="518" t="s">
        <v>684</v>
      </c>
      <c r="B189" s="521"/>
      <c r="C189" s="519"/>
    </row>
    <row r="190" spans="1:3" x14ac:dyDescent="0.25">
      <c r="A190" s="440" t="s">
        <v>743</v>
      </c>
      <c r="B190" s="515">
        <v>1.25</v>
      </c>
      <c r="C190" s="345" t="s">
        <v>5</v>
      </c>
    </row>
    <row r="191" spans="1:3" x14ac:dyDescent="0.25">
      <c r="A191" s="440" t="s">
        <v>685</v>
      </c>
      <c r="B191" s="515">
        <v>10</v>
      </c>
      <c r="C191" s="345" t="s">
        <v>483</v>
      </c>
    </row>
    <row r="192" spans="1:3" x14ac:dyDescent="0.25">
      <c r="A192" s="440" t="s">
        <v>686</v>
      </c>
      <c r="B192" s="451">
        <f>(((B191*1000)*B190)/(ABS(Vout1)-B190))/1000</f>
        <v>3.3333333333333335</v>
      </c>
      <c r="C192" s="345" t="s">
        <v>483</v>
      </c>
    </row>
    <row r="193" spans="1:3" ht="15.75" thickBot="1" x14ac:dyDescent="0.3">
      <c r="A193" s="442" t="s">
        <v>687</v>
      </c>
      <c r="B193" s="467">
        <v>1.2</v>
      </c>
      <c r="C193" s="352" t="s">
        <v>483</v>
      </c>
    </row>
    <row r="194" spans="1:3" ht="15.75" thickBot="1" x14ac:dyDescent="0.3">
      <c r="A194" s="440"/>
      <c r="B194" s="365"/>
      <c r="C194" s="345"/>
    </row>
    <row r="195" spans="1:3" x14ac:dyDescent="0.25">
      <c r="A195" s="437" t="s">
        <v>698</v>
      </c>
      <c r="B195" s="514">
        <v>1.5</v>
      </c>
      <c r="C195" s="364" t="s">
        <v>517</v>
      </c>
    </row>
    <row r="196" spans="1:3" x14ac:dyDescent="0.25">
      <c r="A196" s="440" t="s">
        <v>699</v>
      </c>
      <c r="B196" s="515">
        <v>1</v>
      </c>
      <c r="C196" s="345" t="s">
        <v>5</v>
      </c>
    </row>
    <row r="197" spans="1:3" x14ac:dyDescent="0.25">
      <c r="A197" s="440" t="s">
        <v>700</v>
      </c>
      <c r="B197" s="515">
        <f>1.8</f>
        <v>1.8</v>
      </c>
      <c r="C197" s="345" t="s">
        <v>454</v>
      </c>
    </row>
    <row r="198" spans="1:3" x14ac:dyDescent="0.25">
      <c r="A198" s="440" t="s">
        <v>701</v>
      </c>
      <c r="B198" s="515">
        <v>10</v>
      </c>
      <c r="C198" s="503" t="s">
        <v>254</v>
      </c>
    </row>
    <row r="199" spans="1:3" x14ac:dyDescent="0.25">
      <c r="A199" s="440" t="s">
        <v>736</v>
      </c>
      <c r="B199" s="515">
        <f>Flyback_DCM_Calc!B91</f>
        <v>5</v>
      </c>
      <c r="C199" s="503" t="s">
        <v>5</v>
      </c>
    </row>
    <row r="200" spans="1:3" x14ac:dyDescent="0.25">
      <c r="A200" s="440" t="s">
        <v>740</v>
      </c>
      <c r="B200" s="365">
        <f>Flyback_DCM_Calc!B92</f>
        <v>5000</v>
      </c>
      <c r="C200" s="503" t="s">
        <v>254</v>
      </c>
    </row>
    <row r="201" spans="1:3" ht="15.75" thickBot="1" x14ac:dyDescent="0.3">
      <c r="A201" s="442" t="s">
        <v>741</v>
      </c>
      <c r="B201" s="467">
        <f>B190</f>
        <v>1.25</v>
      </c>
      <c r="C201" s="504" t="s">
        <v>5</v>
      </c>
    </row>
    <row r="202" spans="1:3" ht="15.75" thickBot="1" x14ac:dyDescent="0.3">
      <c r="A202" s="365"/>
      <c r="B202" s="365"/>
      <c r="C202" s="505"/>
    </row>
    <row r="203" spans="1:3" x14ac:dyDescent="0.25">
      <c r="A203" s="437" t="s">
        <v>744</v>
      </c>
      <c r="B203" s="439">
        <f>B195*B200*Flyback_DCM_Calc!B113/1000</f>
        <v>153.97759063367329</v>
      </c>
      <c r="C203" s="507" t="s">
        <v>747</v>
      </c>
    </row>
    <row r="204" spans="1:3" x14ac:dyDescent="0.25">
      <c r="A204" s="440" t="s">
        <v>745</v>
      </c>
      <c r="B204" s="515">
        <v>155</v>
      </c>
      <c r="C204" s="503" t="s">
        <v>747</v>
      </c>
    </row>
    <row r="205" spans="1:3" ht="15.75" thickBot="1" x14ac:dyDescent="0.3">
      <c r="A205" s="442" t="s">
        <v>748</v>
      </c>
      <c r="B205" s="444">
        <f>20*LOG(B195*(B200/(B204*1000)))</f>
        <v>-26.305408695571831</v>
      </c>
      <c r="C205" s="504" t="s">
        <v>749</v>
      </c>
    </row>
    <row r="206" spans="1:3" ht="15.75" thickBot="1" x14ac:dyDescent="0.3"/>
    <row r="207" spans="1:3" x14ac:dyDescent="0.25">
      <c r="A207" s="437" t="s">
        <v>752</v>
      </c>
      <c r="B207" s="506">
        <f>(1/(2*PI()*B185*1000*B200))*(10^9)</f>
        <v>0.63661977236758127</v>
      </c>
      <c r="C207" s="364" t="s">
        <v>454</v>
      </c>
    </row>
    <row r="208" spans="1:3" x14ac:dyDescent="0.25">
      <c r="A208" s="440" t="s">
        <v>753</v>
      </c>
      <c r="B208" s="515">
        <v>0.63700000000000001</v>
      </c>
      <c r="C208" s="345" t="s">
        <v>454</v>
      </c>
    </row>
    <row r="209" spans="1:3" x14ac:dyDescent="0.25">
      <c r="A209" s="440" t="s">
        <v>754</v>
      </c>
      <c r="B209" s="451">
        <f>1/(2*PI()*B208*(10^-9)*B200)/1000</f>
        <v>49.970154816921621</v>
      </c>
      <c r="C209" s="345" t="s">
        <v>8</v>
      </c>
    </row>
    <row r="210" spans="1:3" x14ac:dyDescent="0.25">
      <c r="A210" s="440" t="s">
        <v>750</v>
      </c>
      <c r="B210" s="451">
        <f>(1/(2*PI()*B187*1000*B191*1000))*(10^9)</f>
        <v>23.999985386610987</v>
      </c>
      <c r="C210" s="345" t="s">
        <v>454</v>
      </c>
    </row>
    <row r="211" spans="1:3" x14ac:dyDescent="0.25">
      <c r="A211" s="440" t="s">
        <v>751</v>
      </c>
      <c r="B211" s="515">
        <v>24</v>
      </c>
      <c r="C211" s="345" t="s">
        <v>454</v>
      </c>
    </row>
    <row r="212" spans="1:3" ht="15.75" thickBot="1" x14ac:dyDescent="0.3">
      <c r="A212" s="442" t="s">
        <v>755</v>
      </c>
      <c r="B212" s="484">
        <f>(1/(2*PI()*B211*(10^-9)*1000*B191))/1000</f>
        <v>0.66314559621623059</v>
      </c>
      <c r="C212" s="352" t="s">
        <v>8</v>
      </c>
    </row>
    <row r="213" spans="1:3" x14ac:dyDescent="0.25">
      <c r="A213" s="365"/>
      <c r="B213" s="365"/>
      <c r="C213" s="505"/>
    </row>
    <row r="214" spans="1:3" x14ac:dyDescent="0.25">
      <c r="A214" s="365"/>
      <c r="B214" s="365"/>
      <c r="C214" s="505"/>
    </row>
    <row r="215" spans="1:3" x14ac:dyDescent="0.25">
      <c r="A215" s="365"/>
      <c r="B215" s="365"/>
      <c r="C215" s="505"/>
    </row>
    <row r="216" spans="1:3" x14ac:dyDescent="0.25">
      <c r="A216" s="365"/>
      <c r="B216" s="365"/>
      <c r="C216" s="505"/>
    </row>
    <row r="217" spans="1:3" x14ac:dyDescent="0.25">
      <c r="A217" s="365"/>
      <c r="B217" s="365"/>
      <c r="C217" s="505"/>
    </row>
    <row r="228" spans="1:3" x14ac:dyDescent="0.25">
      <c r="A228" s="365"/>
      <c r="B228" s="365"/>
      <c r="C228" s="505"/>
    </row>
    <row r="229" spans="1:3" x14ac:dyDescent="0.25">
      <c r="A229" s="365"/>
      <c r="B229" s="365"/>
      <c r="C229" s="505"/>
    </row>
    <row r="230" spans="1:3" x14ac:dyDescent="0.25">
      <c r="A230" s="365"/>
      <c r="B230" s="365"/>
      <c r="C230" s="505"/>
    </row>
    <row r="231" spans="1:3" x14ac:dyDescent="0.25">
      <c r="A231" s="461" t="s">
        <v>758</v>
      </c>
      <c r="B231" s="461"/>
      <c r="C231" s="461"/>
    </row>
    <row r="232" spans="1:3" ht="15.75" thickBot="1" x14ac:dyDescent="0.3">
      <c r="A232" s="502"/>
      <c r="B232" s="502"/>
      <c r="C232" s="502"/>
    </row>
    <row r="233" spans="1:3" x14ac:dyDescent="0.25">
      <c r="A233" s="510" t="s">
        <v>742</v>
      </c>
      <c r="B233" s="439">
        <f>Flyback_DCM_Calc!B78</f>
        <v>1.25</v>
      </c>
      <c r="C233" s="512" t="s">
        <v>5</v>
      </c>
    </row>
    <row r="234" spans="1:3" x14ac:dyDescent="0.25">
      <c r="A234" s="440" t="s">
        <v>685</v>
      </c>
      <c r="B234" s="515">
        <v>10</v>
      </c>
      <c r="C234" s="345" t="s">
        <v>483</v>
      </c>
    </row>
    <row r="235" spans="1:3" x14ac:dyDescent="0.25">
      <c r="A235" s="440" t="s">
        <v>686</v>
      </c>
      <c r="B235" s="451">
        <f>(((B234*1000)*B233)/(ABS(Vout1)-B233))/1000</f>
        <v>3.3333333333333335</v>
      </c>
      <c r="C235" s="345" t="s">
        <v>483</v>
      </c>
    </row>
    <row r="236" spans="1:3" ht="15.75" thickBot="1" x14ac:dyDescent="0.3">
      <c r="A236" s="442" t="s">
        <v>814</v>
      </c>
      <c r="B236" s="467">
        <v>1.2</v>
      </c>
      <c r="C236" s="352" t="s">
        <v>483</v>
      </c>
    </row>
    <row r="237" spans="1:3" ht="15.75" thickBot="1" x14ac:dyDescent="0.3"/>
    <row r="238" spans="1:3" x14ac:dyDescent="0.25">
      <c r="A238" s="437" t="s">
        <v>759</v>
      </c>
      <c r="B238" s="506">
        <f>(B187/(B185*1000*B191*Flyback_DCM_Calc!B119))*(10^9)</f>
        <v>5.1170799473618205</v>
      </c>
      <c r="C238" s="364" t="s">
        <v>454</v>
      </c>
    </row>
    <row r="239" spans="1:3" x14ac:dyDescent="0.25">
      <c r="A239" s="440" t="s">
        <v>760</v>
      </c>
      <c r="B239" s="515">
        <v>9</v>
      </c>
      <c r="C239" s="345" t="s">
        <v>454</v>
      </c>
    </row>
    <row r="240" spans="1:3" x14ac:dyDescent="0.25">
      <c r="A240" s="440" t="s">
        <v>761</v>
      </c>
      <c r="B240" s="451">
        <f>(1/(Flyback_DCM_Calc!B119*'Flyback DCM'!B191*1000))*(10^9)-B238</f>
        <v>380.70142362212505</v>
      </c>
      <c r="C240" s="345" t="s">
        <v>454</v>
      </c>
    </row>
    <row r="241" spans="1:3" x14ac:dyDescent="0.25">
      <c r="A241" s="440" t="s">
        <v>762</v>
      </c>
      <c r="B241" s="515">
        <v>589</v>
      </c>
      <c r="C241" s="345" t="s">
        <v>454</v>
      </c>
    </row>
    <row r="242" spans="1:3" x14ac:dyDescent="0.25">
      <c r="A242" s="440" t="s">
        <v>763</v>
      </c>
      <c r="B242" s="451">
        <f>1/(2*PI()*B187*1000*B240*(10^-9))/1000</f>
        <v>0.630414910411073</v>
      </c>
      <c r="C242" s="503" t="s">
        <v>747</v>
      </c>
    </row>
    <row r="243" spans="1:3" x14ac:dyDescent="0.25">
      <c r="A243" s="440" t="s">
        <v>764</v>
      </c>
      <c r="B243" s="515">
        <v>0.40699999999999997</v>
      </c>
      <c r="C243" s="503" t="s">
        <v>747</v>
      </c>
    </row>
    <row r="244" spans="1:3" x14ac:dyDescent="0.25">
      <c r="A244" s="440" t="s">
        <v>754</v>
      </c>
      <c r="B244" s="451">
        <f>1/(2*PI()*B243*1000*B239*(10^-9))/1000</f>
        <v>43.449342913430343</v>
      </c>
      <c r="C244" s="503" t="s">
        <v>8</v>
      </c>
    </row>
    <row r="245" spans="1:3" ht="15.75" thickBot="1" x14ac:dyDescent="0.3">
      <c r="A245" s="442" t="s">
        <v>755</v>
      </c>
      <c r="B245" s="484">
        <f>1/(2*PI()*B243*1000*B241*(10^-9))/1000</f>
        <v>0.66391186115598144</v>
      </c>
      <c r="C245" s="504" t="s">
        <v>8</v>
      </c>
    </row>
  </sheetData>
  <sheetProtection password="E1A4" sheet="1" objects="1" scenarios="1"/>
  <mergeCells count="11">
    <mergeCell ref="A1:XFD2"/>
    <mergeCell ref="A161:D162"/>
    <mergeCell ref="A231:C232"/>
    <mergeCell ref="E6:G6"/>
    <mergeCell ref="A35:C35"/>
    <mergeCell ref="B36:C36"/>
    <mergeCell ref="B37:C37"/>
    <mergeCell ref="B38:C38"/>
    <mergeCell ref="B39:C39"/>
    <mergeCell ref="B40:C40"/>
    <mergeCell ref="A62:C62"/>
  </mergeCells>
  <dataValidations count="1">
    <dataValidation type="list" showInputMessage="1" showErrorMessage="1" sqref="B40">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0968" r:id="rId4">
          <objectPr defaultSize="0" autoPict="0" r:id="rId5">
            <anchor moveWithCells="1">
              <from>
                <xdr:col>0</xdr:col>
                <xdr:colOff>0</xdr:colOff>
                <xdr:row>3</xdr:row>
                <xdr:rowOff>76200</xdr:rowOff>
              </from>
              <to>
                <xdr:col>3</xdr:col>
                <xdr:colOff>495300</xdr:colOff>
                <xdr:row>13</xdr:row>
                <xdr:rowOff>28575</xdr:rowOff>
              </to>
            </anchor>
          </objectPr>
        </oleObject>
      </mc:Choice>
      <mc:Fallback>
        <oleObject progId="Visio.Drawing.11" shapeId="40968" r:id="rId4"/>
      </mc:Fallback>
    </mc:AlternateContent>
    <mc:AlternateContent xmlns:mc="http://schemas.openxmlformats.org/markup-compatibility/2006">
      <mc:Choice Requires="x14">
        <oleObject progId="Visio.Drawing.11" shapeId="40969" r:id="rId6">
          <objectPr defaultSize="0" autoPict="0" r:id="rId7">
            <anchor moveWithCells="1">
              <from>
                <xdr:col>4</xdr:col>
                <xdr:colOff>9525</xdr:colOff>
                <xdr:row>67</xdr:row>
                <xdr:rowOff>0</xdr:rowOff>
              </from>
              <to>
                <xdr:col>9</xdr:col>
                <xdr:colOff>571500</xdr:colOff>
                <xdr:row>82</xdr:row>
                <xdr:rowOff>0</xdr:rowOff>
              </to>
            </anchor>
          </objectPr>
        </oleObject>
      </mc:Choice>
      <mc:Fallback>
        <oleObject progId="Visio.Drawing.11" shapeId="40969" r:id="rId6"/>
      </mc:Fallback>
    </mc:AlternateContent>
    <mc:AlternateContent xmlns:mc="http://schemas.openxmlformats.org/markup-compatibility/2006">
      <mc:Choice Requires="x14">
        <oleObject progId="Visio.Drawing.11" shapeId="40970" r:id="rId8">
          <objectPr defaultSize="0" r:id="rId9">
            <anchor moveWithCells="1">
              <from>
                <xdr:col>4</xdr:col>
                <xdr:colOff>0</xdr:colOff>
                <xdr:row>188</xdr:row>
                <xdr:rowOff>38100</xdr:rowOff>
              </from>
              <to>
                <xdr:col>10</xdr:col>
                <xdr:colOff>190500</xdr:colOff>
                <xdr:row>198</xdr:row>
                <xdr:rowOff>76200</xdr:rowOff>
              </to>
            </anchor>
          </objectPr>
        </oleObject>
      </mc:Choice>
      <mc:Fallback>
        <oleObject progId="Visio.Drawing.11" shapeId="40970"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1"/>
  <sheetViews>
    <sheetView topLeftCell="A4" zoomScaleNormal="100" workbookViewId="0">
      <selection activeCell="H3" sqref="H3"/>
    </sheetView>
  </sheetViews>
  <sheetFormatPr defaultRowHeight="15" x14ac:dyDescent="0.25"/>
  <cols>
    <col min="1" max="1" width="24.85546875" bestFit="1" customWidth="1"/>
    <col min="2" max="2" width="10.28515625" customWidth="1"/>
    <col min="3" max="3" width="2.42578125" customWidth="1"/>
    <col min="4" max="4" width="11" bestFit="1" customWidth="1"/>
    <col min="6" max="6" width="12" bestFit="1" customWidth="1"/>
    <col min="16" max="16" width="10" bestFit="1" customWidth="1"/>
    <col min="17" max="17" width="11" bestFit="1" customWidth="1"/>
    <col min="18" max="18" width="12" bestFit="1" customWidth="1"/>
    <col min="82" max="82" width="8.85546875" customWidth="1"/>
    <col min="83" max="83" width="11.85546875" customWidth="1"/>
    <col min="84" max="84" width="11.42578125" customWidth="1"/>
    <col min="85" max="85" width="12.28515625" customWidth="1"/>
    <col min="86" max="86" width="11.5703125" customWidth="1"/>
    <col min="87" max="87" width="10.140625" customWidth="1"/>
    <col min="88" max="96" width="9.140625" customWidth="1"/>
    <col min="97" max="99" width="11.85546875" customWidth="1"/>
  </cols>
  <sheetData>
    <row r="1" spans="1:100" ht="15.75" thickBot="1" x14ac:dyDescent="0.3">
      <c r="K1" t="s">
        <v>173</v>
      </c>
    </row>
    <row r="2" spans="1:100" ht="15.75" thickBot="1" x14ac:dyDescent="0.3">
      <c r="K2" t="s">
        <v>29</v>
      </c>
      <c r="L2" s="134"/>
      <c r="M2" s="235"/>
      <c r="N2" s="235" t="s">
        <v>32</v>
      </c>
      <c r="O2" s="235"/>
      <c r="P2" s="235"/>
      <c r="Q2" s="235"/>
      <c r="R2" s="235"/>
      <c r="S2" s="235"/>
      <c r="T2" s="235"/>
      <c r="U2" s="235"/>
      <c r="V2" s="235"/>
      <c r="W2" s="235"/>
      <c r="X2" s="235"/>
      <c r="Y2" s="235"/>
      <c r="Z2" s="235" t="s">
        <v>353</v>
      </c>
      <c r="AA2" s="235"/>
      <c r="AB2" s="235"/>
      <c r="AC2" s="235"/>
      <c r="AD2" s="235" t="s">
        <v>354</v>
      </c>
      <c r="AE2" s="235"/>
      <c r="AF2" s="235"/>
      <c r="AG2" s="235"/>
      <c r="AH2" s="235" t="s">
        <v>339</v>
      </c>
      <c r="AI2" s="235"/>
      <c r="AJ2" s="235"/>
      <c r="AK2" s="235"/>
      <c r="AL2" s="235" t="s">
        <v>355</v>
      </c>
      <c r="AM2" s="235"/>
      <c r="AN2" s="235"/>
      <c r="AO2" s="235"/>
      <c r="AP2" s="235" t="s">
        <v>356</v>
      </c>
      <c r="AQ2" s="235"/>
      <c r="AR2" s="235"/>
      <c r="AS2" s="235"/>
      <c r="AT2" s="235" t="s">
        <v>357</v>
      </c>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317" t="s">
        <v>599</v>
      </c>
      <c r="CG2" s="317"/>
      <c r="CH2" s="317"/>
      <c r="CI2" s="317"/>
      <c r="CJ2" s="317"/>
      <c r="CK2" s="317"/>
      <c r="CL2" s="317" t="s">
        <v>561</v>
      </c>
      <c r="CM2" s="317"/>
      <c r="CN2" s="317"/>
      <c r="CO2" s="317"/>
      <c r="CP2" s="317"/>
      <c r="CQ2" s="317"/>
      <c r="CR2" s="317"/>
      <c r="CS2" s="235"/>
      <c r="CT2" s="235"/>
      <c r="CU2" s="135"/>
    </row>
    <row r="3" spans="1:100" s="14" customFormat="1" ht="75.75" thickBot="1" x14ac:dyDescent="0.3">
      <c r="K3" s="14" t="s">
        <v>20</v>
      </c>
      <c r="L3" s="66" t="s">
        <v>10</v>
      </c>
      <c r="M3" s="68" t="s">
        <v>352</v>
      </c>
      <c r="N3" s="66" t="s">
        <v>53</v>
      </c>
      <c r="O3" s="67" t="s">
        <v>52</v>
      </c>
      <c r="P3" s="68" t="s">
        <v>54</v>
      </c>
      <c r="Q3" s="129" t="s">
        <v>50</v>
      </c>
      <c r="R3" s="66" t="s">
        <v>51</v>
      </c>
      <c r="S3" s="67" t="s">
        <v>81</v>
      </c>
      <c r="T3" s="67" t="s">
        <v>82</v>
      </c>
      <c r="U3" s="67" t="s">
        <v>326</v>
      </c>
      <c r="V3" s="68" t="s">
        <v>146</v>
      </c>
      <c r="W3" s="67" t="s">
        <v>392</v>
      </c>
      <c r="X3" s="66" t="s">
        <v>329</v>
      </c>
      <c r="Y3" s="67" t="s">
        <v>330</v>
      </c>
      <c r="Z3" s="67" t="s">
        <v>121</v>
      </c>
      <c r="AA3" s="68" t="s">
        <v>340</v>
      </c>
      <c r="AB3" s="66" t="s">
        <v>327</v>
      </c>
      <c r="AC3" s="67" t="s">
        <v>328</v>
      </c>
      <c r="AD3" s="67" t="s">
        <v>122</v>
      </c>
      <c r="AE3" s="68" t="s">
        <v>342</v>
      </c>
      <c r="AF3" s="66" t="s">
        <v>331</v>
      </c>
      <c r="AG3" s="67" t="s">
        <v>332</v>
      </c>
      <c r="AH3" s="67" t="s">
        <v>123</v>
      </c>
      <c r="AI3" s="68" t="s">
        <v>343</v>
      </c>
      <c r="AJ3" s="66" t="s">
        <v>333</v>
      </c>
      <c r="AK3" s="67" t="s">
        <v>334</v>
      </c>
      <c r="AL3" s="67" t="s">
        <v>124</v>
      </c>
      <c r="AM3" s="68" t="s">
        <v>344</v>
      </c>
      <c r="AN3" s="66" t="s">
        <v>336</v>
      </c>
      <c r="AO3" s="67" t="s">
        <v>335</v>
      </c>
      <c r="AP3" s="67" t="s">
        <v>126</v>
      </c>
      <c r="AQ3" s="68" t="s">
        <v>345</v>
      </c>
      <c r="AR3" s="66" t="s">
        <v>337</v>
      </c>
      <c r="AS3" s="67" t="s">
        <v>338</v>
      </c>
      <c r="AT3" s="67" t="s">
        <v>125</v>
      </c>
      <c r="AU3" s="68" t="s">
        <v>341</v>
      </c>
      <c r="AV3" s="81" t="s">
        <v>202</v>
      </c>
      <c r="AW3" s="81" t="s">
        <v>221</v>
      </c>
      <c r="AX3" s="160" t="s">
        <v>216</v>
      </c>
      <c r="AY3" s="161"/>
      <c r="AZ3" s="162" t="s">
        <v>217</v>
      </c>
      <c r="BA3" s="160" t="s">
        <v>221</v>
      </c>
      <c r="BB3" s="82" t="s">
        <v>225</v>
      </c>
      <c r="BC3" s="81" t="s">
        <v>221</v>
      </c>
      <c r="BD3" s="82" t="s">
        <v>226</v>
      </c>
      <c r="BE3" s="56" t="s">
        <v>390</v>
      </c>
      <c r="BF3" s="90" t="s">
        <v>391</v>
      </c>
      <c r="BG3" s="56" t="s">
        <v>362</v>
      </c>
      <c r="BH3" s="90" t="s">
        <v>363</v>
      </c>
      <c r="BI3" s="56" t="s">
        <v>364</v>
      </c>
      <c r="BJ3" s="90" t="s">
        <v>365</v>
      </c>
      <c r="BK3" s="56" t="s">
        <v>366</v>
      </c>
      <c r="BL3" s="90" t="s">
        <v>367</v>
      </c>
      <c r="BM3" s="56" t="s">
        <v>368</v>
      </c>
      <c r="BN3" s="90" t="s">
        <v>369</v>
      </c>
      <c r="BO3" s="56" t="s">
        <v>370</v>
      </c>
      <c r="BP3" s="90" t="s">
        <v>371</v>
      </c>
      <c r="BQ3" s="57" t="s">
        <v>372</v>
      </c>
      <c r="BR3" s="90" t="s">
        <v>373</v>
      </c>
      <c r="BS3" s="81" t="s">
        <v>463</v>
      </c>
      <c r="BT3" s="160" t="s">
        <v>606</v>
      </c>
      <c r="BU3" s="160" t="s">
        <v>607</v>
      </c>
      <c r="BV3" s="160" t="s">
        <v>608</v>
      </c>
      <c r="BW3" s="82" t="s">
        <v>609</v>
      </c>
      <c r="BX3" s="81" t="s">
        <v>610</v>
      </c>
      <c r="BY3" s="160" t="s">
        <v>611</v>
      </c>
      <c r="BZ3" s="160" t="s">
        <v>612</v>
      </c>
      <c r="CA3" s="160" t="s">
        <v>613</v>
      </c>
      <c r="CB3" s="160" t="s">
        <v>614</v>
      </c>
      <c r="CC3" s="160" t="s">
        <v>615</v>
      </c>
      <c r="CD3" s="160" t="s">
        <v>616</v>
      </c>
      <c r="CE3" s="230" t="s">
        <v>617</v>
      </c>
      <c r="CF3" s="81" t="s">
        <v>558</v>
      </c>
      <c r="CG3" s="67" t="s">
        <v>559</v>
      </c>
      <c r="CH3" s="229" t="s">
        <v>943</v>
      </c>
      <c r="CI3" s="229" t="s">
        <v>944</v>
      </c>
      <c r="CJ3" s="68" t="s">
        <v>590</v>
      </c>
      <c r="CK3" s="129" t="s">
        <v>618</v>
      </c>
      <c r="CL3" s="66" t="s">
        <v>562</v>
      </c>
      <c r="CM3" s="67" t="s">
        <v>563</v>
      </c>
      <c r="CN3" s="67" t="s">
        <v>564</v>
      </c>
      <c r="CO3" s="67" t="s">
        <v>565</v>
      </c>
      <c r="CP3" s="67" t="s">
        <v>566</v>
      </c>
      <c r="CQ3" s="67" t="s">
        <v>567</v>
      </c>
      <c r="CR3" s="129" t="s">
        <v>621</v>
      </c>
      <c r="CS3" s="72" t="s">
        <v>619</v>
      </c>
      <c r="CT3" s="72" t="s">
        <v>603</v>
      </c>
      <c r="CU3" s="49" t="s">
        <v>620</v>
      </c>
      <c r="CV3" s="14" t="s">
        <v>455</v>
      </c>
    </row>
    <row r="4" spans="1:100" ht="15.75" thickBot="1" x14ac:dyDescent="0.3">
      <c r="A4" s="310" t="s">
        <v>297</v>
      </c>
      <c r="B4" s="310"/>
      <c r="C4" s="310"/>
      <c r="K4">
        <v>0</v>
      </c>
      <c r="L4" s="91">
        <f t="shared" ref="L4:L35" si="0">VinMin+(K4*DC_Step)</f>
        <v>9</v>
      </c>
      <c r="M4" s="93">
        <f t="shared" ref="M4:M35" si="1">Pout_FBB/(L4*eff)</f>
        <v>0.61728395061728403</v>
      </c>
      <c r="N4" s="122">
        <f>IF(VoutPri_FBB&lt;0,(Q4*L4)/(0.9*RR*R4*Fsw),0)</f>
        <v>6.7499999999999974E-5</v>
      </c>
      <c r="O4" s="97">
        <f>IF(VoutPri_FBB&lt;0,(Q4*L4)/(RR*R4*Fsw),0)</f>
        <v>6.0749999999999986E-5</v>
      </c>
      <c r="P4" s="123">
        <f>IF(VoutPri_FBB&lt;0,(Q4*L4)/(1.1*RR*R4*Fsw),0)</f>
        <v>5.5227272727272709E-5</v>
      </c>
      <c r="Q4" s="127">
        <f>IF(VoutPri_FBB&lt;0,ABS(VoutPri_FBB)/(L4+ABS(VoutPri_FBB)),0)</f>
        <v>0.5</v>
      </c>
      <c r="R4" s="91">
        <f>M4/(Q4)</f>
        <v>1.2345679012345681</v>
      </c>
      <c r="S4" s="92">
        <f t="shared" ref="S4:S35" si="2">(L4*Q4)/(Lm_FlyBB*Fsw)</f>
        <v>0.10344827586206896</v>
      </c>
      <c r="T4" s="92">
        <f>R4+(0.5*S4)</f>
        <v>1.2862920391656025</v>
      </c>
      <c r="U4" s="92">
        <f t="shared" ref="U4:U35" si="3">SUM(V4,(Ns1_FlyBB/Np)*Z4,(Ns2_FlyBB/Np)*AD4,(Ns3_FlyBB/Np)*AH4,(Ns4_FlyBB/Np)*AL4,(Ns5_FlyBB/Np)*AP4,(Ns6_FlyBB/Np)*AT4)</f>
        <v>1.7071504202591687</v>
      </c>
      <c r="V4" s="118">
        <f>R4*SQRT(Q4)*SQRT(1+((1/3)*(S4/(2*R4))^2))</f>
        <v>0.87322668827753314</v>
      </c>
      <c r="W4" s="103">
        <f>SQRT((V4^2)-(M4^2))</f>
        <v>0.61764502218545125</v>
      </c>
      <c r="X4" s="117">
        <f t="shared" ref="X4:X35" si="4">IF(AND(Vout1&lt;&gt;0,Iout1&lt;&gt;0,Ns1_FlyBB&lt;&gt;0),(Iout1/(1-Q4)),0)</f>
        <v>1</v>
      </c>
      <c r="Y4" s="103">
        <f t="shared" ref="Y4:Y35" si="5">IF(AND(Vout1&lt;&gt;0,Iout1&lt;&gt;0,Ns1_FlyBB&lt;&gt;0),(ABS(Vout1)*(1-Q4))/(((n1_FlyBB/Np)^2)*Lm_FlyBB*Fsw),0)</f>
        <v>0.16566095557148772</v>
      </c>
      <c r="Z4" s="103">
        <f t="shared" ref="Z4:Z35" si="6">IF(AND(Vout1&lt;&gt;0,Iout1&lt;&gt;0,Ns1_FlyB&lt;&gt;0),X4*SQRT(1-Q4)*SQRT(1+((1/3)*((Y4/(2*X4))^2))),0)</f>
        <v>0.70791488283670267</v>
      </c>
      <c r="AA4" s="118">
        <f t="shared" ref="AA4:AA35" si="7">IF(AND(Vout1&lt;&gt;0,Iout1&lt;&gt;0,Ns1_FlyB&lt;&gt;0),SQRT((X4^2)-(Iout1^2)),0)</f>
        <v>0.8660254037844386</v>
      </c>
      <c r="AB4" s="117">
        <f t="shared" ref="AB4:AB35" si="8">IF(AND(Vout2&lt;&gt;0,Iout2&lt;&gt;0,Ns2_FlyBB&lt;&gt;0),(Iout2/(1-Q4)),0)</f>
        <v>1</v>
      </c>
      <c r="AC4" s="103">
        <f t="shared" ref="AC4:AC35" si="9">IF(AND(Vout2&lt;&gt;0,Iout2&lt;&gt;0,Ns2_FlyBB&lt;&gt;0),(ABS(Vout2)*(1-Q4))/(((n2_FlyBB/Np)^2)*Lm_FlyBB*Fsw),0)</f>
        <v>0.16566095557148772</v>
      </c>
      <c r="AD4" s="103">
        <f t="shared" ref="AD4:AD35" si="10">IF(AND(Vout1&lt;&gt;0,Iout1&lt;&gt;0,Ns1_FlyB&lt;&gt;0),AB4*SQRT(1-Q4)*SQRT(1+((1/3)*((AC4/(2*AB4))^2))),0)</f>
        <v>0.70791488283670267</v>
      </c>
      <c r="AE4" s="118">
        <f t="shared" ref="AE4:AE35" si="11">IF(AND(Vout2&lt;&gt;0,Iout2&lt;&gt;0,Ns2_FlyB&lt;&gt;0),SQRT((AD4^2)-(Iout2^2)),0)</f>
        <v>0.50114217677391959</v>
      </c>
      <c r="AF4" s="117">
        <f t="shared" ref="AF4:AF35" si="12">IF(AND(Vout3&lt;&gt;0,Iout3&lt;&gt;0,Ns3_FlyBB&lt;&gt;0),(Iout3/(1-Q4)),0)</f>
        <v>0</v>
      </c>
      <c r="AG4" s="103">
        <f t="shared" ref="AG4:AG35" si="13">IF(AND(Vout3&lt;&gt;0,Iout3&lt;&gt;0,Ns3_FlyBB&lt;&gt;0),(ABS(Vout3)*(1-Q4))/(((n3_FlyBB/Np)^2)*Lm_FlyBB*Fsw),0)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IF(AND(Vout4&lt;&gt;0,Iout4&lt;&gt;0,Ns4_FlyBB&lt;&gt;0),(Iout4/(1-Q4)),0)</f>
        <v>0</v>
      </c>
      <c r="AK4" s="103">
        <f t="shared" ref="AK4:AK35" si="17">IF(AND(Vout4&lt;&gt;0,Iout4&lt;&gt;0,Ns4_FlyBB&lt;&gt;0),(ABS(Vout4)*(1-Q4))/(((n4_FlyBB/Np)^2)*Lm_FlyBB*Fsw),0)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IF(AND(Vout5&lt;&gt;0,Iout5&lt;&gt;0,Ns5_FlyBB&lt;&gt;0),(Iout5/(1-Q4)),0)</f>
        <v>0</v>
      </c>
      <c r="AO4" s="103">
        <f t="shared" ref="AO4:AO35" si="21">IF(AND(Vout5&lt;&gt;0,Iout5&lt;&gt;0,Ns5_FlyBB&lt;&gt;0),(ABS(Vout5)*(1-Q4))/(((n5_FlyBB/Np)^2)*Lm_FlyBB*Fsw),0)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IF(AND(Vout6&lt;&gt;0,Iout6&lt;&gt;0,Ns6_FlyBB&lt;&gt;0),(Iout6/(1-Q4)),0)</f>
        <v>0</v>
      </c>
      <c r="AS4" s="103">
        <f t="shared" ref="AS4:AS35" si="25">IF(AND(Vout6&lt;&gt;0,Iout6&lt;&gt;0,Ns6_FlyBB&lt;&gt;0),(ABS(Vout6)*(1-Q4))/(((n6_FlyBB/Np)^2)*Lm_FlyBB*Fsw),0)</f>
        <v>0</v>
      </c>
      <c r="AT4" s="103">
        <f t="shared" ref="AT4:AT35" si="26">IF(AND(Vout6&lt;&gt;0,Iout6&lt;&gt;0,Ns6_FlyB&lt;&gt;0),AR4*SQRT(1-Q4)*SQRT(1+((1/3)*((AS4/(2*AR4))^2))),0)</f>
        <v>0</v>
      </c>
      <c r="AU4" s="118">
        <f t="shared" ref="AU4:AU35" si="27">IF(AND(Vout6&lt;&gt;0,Iout6&lt;&gt;0,Ns6_FlyB&lt;&gt;0),SQRT((AT4^2)-(Iout1^2)),0)</f>
        <v>0</v>
      </c>
      <c r="AV4" s="163">
        <f t="shared" ref="AV4:AV35" si="28">(((L4)*Q4)/(2*Np_T_FB*(Ae_FB/100)*Fsw))*(10^4)</f>
        <v>2.880184331797235E-2</v>
      </c>
      <c r="AW4" s="143">
        <f>CM_3F35*(Fsw^x_3F35)*(AV4^y_3F35)*(TC_3F35)</f>
        <v>0</v>
      </c>
      <c r="AX4" s="154">
        <f t="shared" ref="AX4:AX35" si="29">AW4*(Ve_FBB/1000)</f>
        <v>0</v>
      </c>
      <c r="AY4" s="155">
        <v>0</v>
      </c>
      <c r="AZ4" s="156">
        <f t="shared" ref="AZ4:AZ35" si="30">CM_3F36*(Fsw^x_3F36)*(AV4^y_3F36)*(TC_3F36)*(Ve_FBB/1000)</f>
        <v>0</v>
      </c>
      <c r="BA4" s="157">
        <f t="shared" ref="BA4:BA35" si="31">CM_3C92*(Fsw^x_3C92)*(AV4^y_3C92)*(TC_3C92)/1000</f>
        <v>17.63423102107414</v>
      </c>
      <c r="BB4" s="158">
        <f t="shared" ref="BB4:BB35" si="32">(Ve_FBB/1000)*BA4/1000</f>
        <v>6.5070312467763571E-3</v>
      </c>
      <c r="BC4" s="157">
        <f>(CM_3C96*(Fsw^x_3C96)*(AV4^y_3C96)*(TC_3C96))/1000</f>
        <v>21.466063935397763</v>
      </c>
      <c r="BD4" s="159">
        <f t="shared" ref="BD4:BD35" si="33">((Ve_FBB/1000)*BC4)/1000</f>
        <v>7.9209775921617737E-3</v>
      </c>
      <c r="BE4" s="24">
        <f t="shared" ref="BE4:BE35" si="34">(M4^2)*RdcPri_FBB</f>
        <v>0.12830252861800812</v>
      </c>
      <c r="BF4" s="27">
        <f t="shared" ref="BF4:BF35" si="35">(W4^2)*(RacPri_FBB)</f>
        <v>0.12845267003719893</v>
      </c>
      <c r="BG4" s="24">
        <f t="shared" ref="BG4:BG35" si="36">(Iout1^2)*Rdc1_FBB</f>
        <v>8.0579089006279261E-2</v>
      </c>
      <c r="BH4" s="61">
        <f t="shared" ref="BH4:BH35" si="37">(Z4^2)*Rac1_FBB</f>
        <v>0.16152674075179879</v>
      </c>
      <c r="BI4" s="24">
        <f t="shared" ref="BI4:BI35" si="38">(Iout2^2)*Rdc2_FBB</f>
        <v>8.0579089006279261E-2</v>
      </c>
      <c r="BJ4" s="27">
        <f t="shared" ref="BJ4:BJ35" si="39">(AD4^2)*Rac2_FBB</f>
        <v>0.16152674075179879</v>
      </c>
      <c r="BK4" s="24">
        <f t="shared" ref="BK4:BK35" si="40">(Iout3^2)*Rdc3_FBB</f>
        <v>0</v>
      </c>
      <c r="BL4" s="27">
        <f t="shared" ref="BL4:BL35" si="41">(AH4^2)*Rac3_FBB</f>
        <v>0</v>
      </c>
      <c r="BM4" s="24">
        <f t="shared" ref="BM4:BM35" si="42">(Iout4^2)*Rdc4_FBB</f>
        <v>0</v>
      </c>
      <c r="BN4" s="27">
        <f t="shared" ref="BN4:BN35" si="43">(AL4^2)*Rac4_FBB</f>
        <v>0</v>
      </c>
      <c r="BO4" s="24">
        <f t="shared" ref="BO4:BO35" si="44">(Iout5^2)*Rdc5_FBB</f>
        <v>0</v>
      </c>
      <c r="BP4" s="27">
        <f t="shared" ref="BP4:BP35" si="45">(AP4^2)*Rac5_FBB</f>
        <v>0</v>
      </c>
      <c r="BQ4" s="147">
        <f t="shared" ref="BQ4:BQ35" si="46">(Iout6^2)*Rdc6_FBB</f>
        <v>0</v>
      </c>
      <c r="BR4" s="27">
        <f t="shared" ref="BR4:BR35" si="47">(AT4^2)*Rac6_FBB</f>
        <v>0</v>
      </c>
      <c r="BS4" s="91">
        <f>SUM(BE4:BR4)</f>
        <v>0.7409668581713631</v>
      </c>
      <c r="BT4" s="101">
        <f>BS4+AX4</f>
        <v>0.7409668581713631</v>
      </c>
      <c r="BU4" s="206">
        <f>BS4+AZ4</f>
        <v>0.7409668581713631</v>
      </c>
      <c r="BV4" s="97">
        <f>BS4+BB4</f>
        <v>0.74747388941813941</v>
      </c>
      <c r="BW4" s="123">
        <f>BS4+BD4</f>
        <v>0.74888783576352491</v>
      </c>
      <c r="BX4" s="91">
        <f>(M4^2)*$B$78</f>
        <v>2.667276329827771E-2</v>
      </c>
      <c r="BY4" s="92">
        <f t="shared" ref="BY4:BY35" si="48">IF(AND(Vout1&lt;&gt;0,Iout1&lt;&gt;0),(Iout1^2)*($B$79),0)</f>
        <v>5.0000000000000001E-3</v>
      </c>
      <c r="BZ4" s="233">
        <f t="shared" ref="BZ4:BZ35" si="49">IF(AND(Vout2&lt;&gt;0,Iout2&lt;&gt;0),(Iout2^2)*($B$80),0)</f>
        <v>5.0000000000000001E-3</v>
      </c>
      <c r="CA4" s="92">
        <f t="shared" ref="CA4:CA35" si="50">IF(AND(Vout3&lt;&gt;0,Iout3&lt;&gt;0),(Iout3^2)*($B$81),0)</f>
        <v>0</v>
      </c>
      <c r="CB4" s="92">
        <f t="shared" ref="CB4:CB35" si="51">IF(AND(Vout4&lt;&gt;0,Iout4&lt;&gt;0),(Iout4^2)*($B$82),0)</f>
        <v>0</v>
      </c>
      <c r="CC4" s="92">
        <f t="shared" ref="CC4:CC35" si="52">IF(AND(Vout5&lt;&gt;0,Iout5&lt;&gt;0),(Iout5^2)*($B$83),0)</f>
        <v>0</v>
      </c>
      <c r="CD4" s="92">
        <f t="shared" ref="CD4:CD35" si="53">IF(AND(Vout6&lt;&gt;0,Iout6&lt;&gt;0),(Iout6^2)*($B$84),0)</f>
        <v>0</v>
      </c>
      <c r="CE4" s="127">
        <f>SUM(BX4:CD4)</f>
        <v>3.6672763298277705E-2</v>
      </c>
      <c r="CF4" s="91">
        <f>(M4^2)*$B$69</f>
        <v>0.11050144795000764</v>
      </c>
      <c r="CG4" s="92">
        <f t="shared" ref="CG4:CG35" si="54">0.5*(L4+ABS(VoutPri_FBB))*R4*T_Rise_Fall*Fsw</f>
        <v>0.10000000000000002</v>
      </c>
      <c r="CH4" s="92">
        <f t="shared" ref="CH4:CH35" si="55">R4*$B$76*Fsw</f>
        <v>9.2592592592592622E-3</v>
      </c>
      <c r="CI4" s="92">
        <f t="shared" ref="CI4:CI35" si="56">$B$77*L4*Fsw</f>
        <v>5.3999999999999999E-2</v>
      </c>
      <c r="CJ4" s="93">
        <f t="shared" ref="CJ4:CJ35" si="57">($B$70*$B$68*Fsw)+($B$72*$B$68*Fsw)</f>
        <v>0.09</v>
      </c>
      <c r="CK4" s="127">
        <f>SUM(CF4:CJ4)</f>
        <v>0.3637607072092669</v>
      </c>
      <c r="CL4" s="91">
        <f t="shared" ref="CL4:CL35" si="58">IF(AND(Vout1&lt;&gt;0,Iout1&lt;&gt;0,Vdiode1&lt;&gt;0),(Vdiode1*Iout1),0)</f>
        <v>0.15</v>
      </c>
      <c r="CM4" s="92">
        <f t="shared" ref="CM4:CM35" si="59">IF(AND(Vout2&lt;&gt;0,Iout2&lt;&gt;0,Vdiode2&lt;&gt;0),(Vdiode2*Iout2),0)</f>
        <v>0.15</v>
      </c>
      <c r="CN4" s="92">
        <f t="shared" ref="CN4:CN35" si="60">IF(AND(Vout3&lt;&gt;0,Iout3&lt;&gt;0,Vdiode3&lt;&gt;0),(Vdiode3*Iout3),0)</f>
        <v>0</v>
      </c>
      <c r="CO4" s="92">
        <f t="shared" ref="CO4:CO35" si="61">IF(AND(Vout4&lt;&gt;0,Iout4&lt;&gt;0,Vdiode4&lt;&gt;0),(Vdiode4*Iout4),0)</f>
        <v>0</v>
      </c>
      <c r="CP4" s="92">
        <f t="shared" ref="CP4:CP35" si="62">IF(AND(Vout5&lt;&gt;0,Iout5&lt;&gt;0,Vdiode5&lt;&gt;0),(Vdiode5*Iout5),0)</f>
        <v>0</v>
      </c>
      <c r="CQ4" s="92">
        <f t="shared" ref="CQ4:CQ35" si="63">IF(AND(Vout6&lt;&gt;0,Iout6&lt;&gt;0,Vdiode6&lt;&gt;0),(Vdiode6*Iout6),0)</f>
        <v>0</v>
      </c>
      <c r="CR4" s="127">
        <f>SUM(CL4:CQ4)</f>
        <v>0.3</v>
      </c>
      <c r="CS4" s="92">
        <f>CR4+CK4+CE4</f>
        <v>0.70043347050754456</v>
      </c>
      <c r="CT4" s="92">
        <f t="shared" ref="CT4:CT35" si="64">CS4+Pout_FBB</f>
        <v>5.7004334705075443</v>
      </c>
      <c r="CU4" s="93">
        <f t="shared" ref="CU4:CU35" si="65">Pout_FBB/CT4</f>
        <v>0.8771262792327299</v>
      </c>
      <c r="CV4">
        <f>L4</f>
        <v>9</v>
      </c>
    </row>
    <row r="5" spans="1:100" ht="15.75" thickBot="1" x14ac:dyDescent="0.3">
      <c r="A5" s="12" t="s">
        <v>323</v>
      </c>
      <c r="B5" s="12">
        <f>VoutPri_FBB</f>
        <v>-9</v>
      </c>
      <c r="C5" s="12" t="s">
        <v>5</v>
      </c>
      <c r="K5">
        <v>1</v>
      </c>
      <c r="L5" s="91">
        <f t="shared" si="0"/>
        <v>9.7799999999999994</v>
      </c>
      <c r="M5" s="93">
        <f t="shared" si="1"/>
        <v>0.56805271529197909</v>
      </c>
      <c r="N5" s="122">
        <f t="shared" ref="N5:N54" si="66">IF(VoutPri_FBB&lt;0,(Q5*L5)/(0.9*RR*R5*Fsw),0)</f>
        <v>7.3223468648245835E-5</v>
      </c>
      <c r="O5" s="97">
        <f t="shared" ref="O5:O54" si="67">IF(VoutPri_FBB&lt;0,(Q5*L5)/(RR*R5*Fsw),0)</f>
        <v>6.5901121783421256E-5</v>
      </c>
      <c r="P5" s="123">
        <f t="shared" ref="P5:P54" si="68">IF(VoutPri_FBB&lt;0,(Q5*L5)/(1.1*RR*R5*Fsw),0)</f>
        <v>5.991011071220114E-5</v>
      </c>
      <c r="Q5" s="127">
        <f t="shared" ref="Q5:Q54" si="69">IF(VoutPri_FBB&lt;0,ABS(VoutPri_FBB)/(L5+ABS(VoutPri_FBB)),0)</f>
        <v>0.47923322683706066</v>
      </c>
      <c r="R5" s="91">
        <f t="shared" ref="R5:R53" si="70">M5/(Q5)</f>
        <v>1.1853366659092632</v>
      </c>
      <c r="S5" s="92">
        <f t="shared" si="2"/>
        <v>0.10774484961991845</v>
      </c>
      <c r="T5" s="92">
        <f t="shared" ref="T5:T54" si="71">R5+(0.5*S5)</f>
        <v>1.2392090907192224</v>
      </c>
      <c r="U5" s="92">
        <f t="shared" si="3"/>
        <v>1.6381436311527371</v>
      </c>
      <c r="V5" s="118">
        <f t="shared" ref="V5:V54" si="72">R5*SQRT(Q5)*SQRT(1+((1/3)*(S5/(2*R5))^2))</f>
        <v>0.82085158702628658</v>
      </c>
      <c r="W5" s="103">
        <f t="shared" ref="W5:W54" si="73">SQRT((V5^2)-(M5^2))</f>
        <v>0.59254826012147144</v>
      </c>
      <c r="X5" s="117">
        <f t="shared" si="4"/>
        <v>0.96012269938650308</v>
      </c>
      <c r="Y5" s="103">
        <f t="shared" si="5"/>
        <v>0.17254144254410539</v>
      </c>
      <c r="Z5" s="103">
        <f t="shared" si="6"/>
        <v>0.6937963023144742</v>
      </c>
      <c r="AA5" s="118">
        <f t="shared" si="7"/>
        <v>0.81965578011579066</v>
      </c>
      <c r="AB5" s="117">
        <f t="shared" si="8"/>
        <v>0.96012269938650308</v>
      </c>
      <c r="AC5" s="103">
        <f t="shared" si="9"/>
        <v>0.17254144254410539</v>
      </c>
      <c r="AD5" s="103">
        <f t="shared" si="10"/>
        <v>0.6937963023144742</v>
      </c>
      <c r="AE5" s="118">
        <f t="shared" si="11"/>
        <v>0.48099200524045849</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163">
        <f t="shared" si="28"/>
        <v>2.9998086011690045E-2</v>
      </c>
      <c r="AW5" s="143">
        <f t="shared" ref="AW5:AW54" si="74">CM_3F35*(Fsw^x_3F35)*(AV5^y_3F35)*(TC_3F35)</f>
        <v>0</v>
      </c>
      <c r="AX5" s="154">
        <f t="shared" si="29"/>
        <v>0</v>
      </c>
      <c r="AY5" s="155">
        <v>1</v>
      </c>
      <c r="AZ5" s="156">
        <f t="shared" si="30"/>
        <v>0</v>
      </c>
      <c r="BA5" s="157">
        <f t="shared" si="31"/>
        <v>19.650219427887059</v>
      </c>
      <c r="BB5" s="158">
        <f t="shared" si="32"/>
        <v>7.2509309688903248E-3</v>
      </c>
      <c r="BC5" s="157">
        <f t="shared" ref="BC5:BC54" si="75">(CM_3C96*(Fsw^x_3C96)*(AV5^y_3C96)*(TC_3C96))/1000</f>
        <v>23.726224987579538</v>
      </c>
      <c r="BD5" s="159">
        <f t="shared" si="33"/>
        <v>8.7549770204168494E-3</v>
      </c>
      <c r="BE5" s="24">
        <f t="shared" si="34"/>
        <v>0.10865320086962933</v>
      </c>
      <c r="BF5" s="27">
        <f t="shared" si="35"/>
        <v>0.118225919180012</v>
      </c>
      <c r="BG5" s="24">
        <f t="shared" si="36"/>
        <v>8.0579089006279261E-2</v>
      </c>
      <c r="BH5" s="61">
        <f t="shared" si="37"/>
        <v>0.15514804455143186</v>
      </c>
      <c r="BI5" s="24">
        <f t="shared" si="38"/>
        <v>8.0579089006279261E-2</v>
      </c>
      <c r="BJ5" s="27">
        <f t="shared" si="39"/>
        <v>0.15514804455143186</v>
      </c>
      <c r="BK5" s="24">
        <f t="shared" si="40"/>
        <v>0</v>
      </c>
      <c r="BL5" s="27">
        <f t="shared" si="41"/>
        <v>0</v>
      </c>
      <c r="BM5" s="24">
        <f t="shared" si="42"/>
        <v>0</v>
      </c>
      <c r="BN5" s="27">
        <f t="shared" si="43"/>
        <v>0</v>
      </c>
      <c r="BO5" s="24">
        <f t="shared" si="44"/>
        <v>0</v>
      </c>
      <c r="BP5" s="27">
        <f t="shared" si="45"/>
        <v>0</v>
      </c>
      <c r="BQ5" s="147">
        <f t="shared" si="46"/>
        <v>0</v>
      </c>
      <c r="BR5" s="27">
        <f t="shared" si="47"/>
        <v>0</v>
      </c>
      <c r="BS5" s="91">
        <f t="shared" ref="BS5:BS54" si="76">SUM(BE5:BR5)</f>
        <v>0.69833338716506355</v>
      </c>
      <c r="BT5" s="101">
        <f t="shared" ref="BT5:BT54" si="77">BS5+AX5</f>
        <v>0.69833338716506355</v>
      </c>
      <c r="BU5" s="206">
        <f t="shared" ref="BU5:BU54" si="78">BS5+AZ5</f>
        <v>0.69833338716506355</v>
      </c>
      <c r="BV5" s="97">
        <f t="shared" ref="BV5:BV54" si="79">BS5+BB5</f>
        <v>0.70558431813395384</v>
      </c>
      <c r="BW5" s="123">
        <f t="shared" ref="BW5:BW54" si="80">BS5+BD5</f>
        <v>0.70708836418548038</v>
      </c>
      <c r="BX5" s="91">
        <f t="shared" ref="BX5:BX54" si="81">(M5^2)*$B$78</f>
        <v>2.2587872114541323E-2</v>
      </c>
      <c r="BY5" s="92">
        <f t="shared" si="48"/>
        <v>5.0000000000000001E-3</v>
      </c>
      <c r="BZ5" s="233">
        <f t="shared" si="49"/>
        <v>5.0000000000000001E-3</v>
      </c>
      <c r="CA5" s="92">
        <f t="shared" si="50"/>
        <v>0</v>
      </c>
      <c r="CB5" s="92">
        <f t="shared" si="51"/>
        <v>0</v>
      </c>
      <c r="CC5" s="92">
        <f t="shared" si="52"/>
        <v>0</v>
      </c>
      <c r="CD5" s="92">
        <f t="shared" si="53"/>
        <v>0</v>
      </c>
      <c r="CE5" s="127">
        <f t="shared" ref="CE5:CE54" si="82">SUM(BX5:CD5)</f>
        <v>3.2587872114541325E-2</v>
      </c>
      <c r="CF5" s="91">
        <f t="shared" ref="CF5:CF54" si="83">(M5^2)*$B$69</f>
        <v>9.3578327331671179E-2</v>
      </c>
      <c r="CG5" s="92">
        <f t="shared" si="54"/>
        <v>0.10017280163599186</v>
      </c>
      <c r="CH5" s="92">
        <f t="shared" si="55"/>
        <v>8.8900249943194738E-3</v>
      </c>
      <c r="CI5" s="92">
        <f t="shared" si="56"/>
        <v>5.8680000000000003E-2</v>
      </c>
      <c r="CJ5" s="93">
        <f t="shared" si="57"/>
        <v>0.09</v>
      </c>
      <c r="CK5" s="127">
        <f t="shared" ref="CK5:CK54" si="84">SUM(CF5:CJ5)</f>
        <v>0.35132115396198249</v>
      </c>
      <c r="CL5" s="91">
        <f t="shared" si="58"/>
        <v>0.15</v>
      </c>
      <c r="CM5" s="92">
        <f t="shared" si="59"/>
        <v>0.15</v>
      </c>
      <c r="CN5" s="92">
        <f t="shared" si="60"/>
        <v>0</v>
      </c>
      <c r="CO5" s="92">
        <f t="shared" si="61"/>
        <v>0</v>
      </c>
      <c r="CP5" s="92">
        <f t="shared" si="62"/>
        <v>0</v>
      </c>
      <c r="CQ5" s="92">
        <f t="shared" si="63"/>
        <v>0</v>
      </c>
      <c r="CR5" s="127">
        <f t="shared" ref="CR5:CR54" si="85">SUM(CL5:CQ5)</f>
        <v>0.3</v>
      </c>
      <c r="CS5" s="92">
        <f t="shared" ref="CS5:CS54" si="86">CR5+CK5+CE5</f>
        <v>0.68390902607652382</v>
      </c>
      <c r="CT5" s="92">
        <f t="shared" si="64"/>
        <v>5.6839090260765239</v>
      </c>
      <c r="CU5" s="93">
        <f t="shared" si="65"/>
        <v>0.87967628916316221</v>
      </c>
      <c r="CV5">
        <f t="shared" ref="CV5:CV54" si="87">L5</f>
        <v>9.7799999999999994</v>
      </c>
    </row>
    <row r="6" spans="1:100" ht="15.75" thickBot="1" x14ac:dyDescent="0.3">
      <c r="A6" s="310" t="s">
        <v>291</v>
      </c>
      <c r="B6" s="310"/>
      <c r="C6" s="12"/>
      <c r="K6">
        <v>2</v>
      </c>
      <c r="L6" s="91">
        <f t="shared" si="0"/>
        <v>10.56</v>
      </c>
      <c r="M6" s="93">
        <f t="shared" si="1"/>
        <v>0.52609427609427606</v>
      </c>
      <c r="N6" s="122">
        <f t="shared" si="66"/>
        <v>7.8696224923783341E-5</v>
      </c>
      <c r="O6" s="97">
        <f t="shared" si="67"/>
        <v>7.0826602431405016E-5</v>
      </c>
      <c r="P6" s="123">
        <f t="shared" si="68"/>
        <v>6.4387820392186373E-5</v>
      </c>
      <c r="Q6" s="127">
        <f t="shared" si="69"/>
        <v>0.46012269938650302</v>
      </c>
      <c r="R6" s="91">
        <f t="shared" si="70"/>
        <v>1.14337822671156</v>
      </c>
      <c r="S6" s="92">
        <f t="shared" si="2"/>
        <v>0.11169875185106833</v>
      </c>
      <c r="T6" s="92">
        <f t="shared" si="71"/>
        <v>1.199227602637094</v>
      </c>
      <c r="U6" s="92">
        <f t="shared" si="3"/>
        <v>1.5787521395270583</v>
      </c>
      <c r="V6" s="118">
        <f t="shared" si="72"/>
        <v>0.7758886119483569</v>
      </c>
      <c r="W6" s="103">
        <f t="shared" si="73"/>
        <v>0.57028760359312347</v>
      </c>
      <c r="X6" s="117">
        <f t="shared" si="4"/>
        <v>0.92613636363636365</v>
      </c>
      <c r="Y6" s="103">
        <f t="shared" si="5"/>
        <v>0.17887317902197447</v>
      </c>
      <c r="Z6" s="103">
        <f t="shared" si="6"/>
        <v>0.68154798606001821</v>
      </c>
      <c r="AA6" s="118">
        <f t="shared" si="7"/>
        <v>0.77956947352342287</v>
      </c>
      <c r="AB6" s="117">
        <f t="shared" si="8"/>
        <v>0.92613636363636365</v>
      </c>
      <c r="AC6" s="103">
        <f t="shared" si="9"/>
        <v>0.17887317902197447</v>
      </c>
      <c r="AD6" s="103">
        <f t="shared" si="10"/>
        <v>0.68154798606001821</v>
      </c>
      <c r="AE6" s="118">
        <f t="shared" si="11"/>
        <v>0.4631497137022399</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163">
        <f t="shared" si="28"/>
        <v>3.1098922846399587E-2</v>
      </c>
      <c r="AW6" s="143">
        <f t="shared" si="74"/>
        <v>0</v>
      </c>
      <c r="AX6" s="154">
        <f t="shared" si="29"/>
        <v>0</v>
      </c>
      <c r="AY6" s="155">
        <v>2</v>
      </c>
      <c r="AZ6" s="156">
        <f t="shared" si="30"/>
        <v>0</v>
      </c>
      <c r="BA6" s="157">
        <f t="shared" si="31"/>
        <v>21.627244733226597</v>
      </c>
      <c r="BB6" s="158">
        <f t="shared" si="32"/>
        <v>7.9804533065606139E-3</v>
      </c>
      <c r="BC6" s="157">
        <f t="shared" si="75"/>
        <v>25.925794514859099</v>
      </c>
      <c r="BD6" s="159">
        <f t="shared" si="33"/>
        <v>9.5666181759830084E-3</v>
      </c>
      <c r="BE6" s="24">
        <f t="shared" si="34"/>
        <v>9.3194953961298455E-2</v>
      </c>
      <c r="BF6" s="27">
        <f t="shared" si="35"/>
        <v>0.10950983068330192</v>
      </c>
      <c r="BG6" s="24">
        <f t="shared" si="36"/>
        <v>8.0579089006279261E-2</v>
      </c>
      <c r="BH6" s="61">
        <f t="shared" si="37"/>
        <v>0.14971841544749495</v>
      </c>
      <c r="BI6" s="24">
        <f t="shared" si="38"/>
        <v>8.0579089006279261E-2</v>
      </c>
      <c r="BJ6" s="27">
        <f t="shared" si="39"/>
        <v>0.14971841544749495</v>
      </c>
      <c r="BK6" s="24">
        <f t="shared" si="40"/>
        <v>0</v>
      </c>
      <c r="BL6" s="27">
        <f t="shared" si="41"/>
        <v>0</v>
      </c>
      <c r="BM6" s="24">
        <f t="shared" si="42"/>
        <v>0</v>
      </c>
      <c r="BN6" s="27">
        <f t="shared" si="43"/>
        <v>0</v>
      </c>
      <c r="BO6" s="24">
        <f t="shared" si="44"/>
        <v>0</v>
      </c>
      <c r="BP6" s="27">
        <f t="shared" si="45"/>
        <v>0</v>
      </c>
      <c r="BQ6" s="147">
        <f t="shared" si="46"/>
        <v>0</v>
      </c>
      <c r="BR6" s="27">
        <f t="shared" si="47"/>
        <v>0</v>
      </c>
      <c r="BS6" s="91">
        <f t="shared" si="76"/>
        <v>0.66329979355214885</v>
      </c>
      <c r="BT6" s="101">
        <f t="shared" si="77"/>
        <v>0.66329979355214885</v>
      </c>
      <c r="BU6" s="206">
        <f t="shared" si="78"/>
        <v>0.66329979355214885</v>
      </c>
      <c r="BV6" s="97">
        <f t="shared" si="79"/>
        <v>0.67128024685870946</v>
      </c>
      <c r="BW6" s="123">
        <f t="shared" si="80"/>
        <v>0.67286641172813189</v>
      </c>
      <c r="BX6" s="91">
        <f t="shared" si="81"/>
        <v>1.9374263113741227E-2</v>
      </c>
      <c r="BY6" s="92">
        <f t="shared" si="48"/>
        <v>5.0000000000000001E-3</v>
      </c>
      <c r="BZ6" s="233">
        <f t="shared" si="49"/>
        <v>5.0000000000000001E-3</v>
      </c>
      <c r="CA6" s="92">
        <f t="shared" si="50"/>
        <v>0</v>
      </c>
      <c r="CB6" s="92">
        <f t="shared" si="51"/>
        <v>0</v>
      </c>
      <c r="CC6" s="92">
        <f t="shared" si="52"/>
        <v>0</v>
      </c>
      <c r="CD6" s="92">
        <f t="shared" si="53"/>
        <v>0</v>
      </c>
      <c r="CE6" s="127">
        <f t="shared" si="82"/>
        <v>2.9374263113741229E-2</v>
      </c>
      <c r="CF6" s="91">
        <f t="shared" si="83"/>
        <v>8.026480432835649E-2</v>
      </c>
      <c r="CG6" s="92">
        <f t="shared" si="54"/>
        <v>0.10064015151515153</v>
      </c>
      <c r="CH6" s="92">
        <f t="shared" si="55"/>
        <v>8.5753367003367012E-3</v>
      </c>
      <c r="CI6" s="92">
        <f t="shared" si="56"/>
        <v>6.336E-2</v>
      </c>
      <c r="CJ6" s="93">
        <f t="shared" si="57"/>
        <v>0.09</v>
      </c>
      <c r="CK6" s="127">
        <f t="shared" si="84"/>
        <v>0.34284029254384474</v>
      </c>
      <c r="CL6" s="91">
        <f t="shared" si="58"/>
        <v>0.15</v>
      </c>
      <c r="CM6" s="92">
        <f t="shared" si="59"/>
        <v>0.15</v>
      </c>
      <c r="CN6" s="92">
        <f t="shared" si="60"/>
        <v>0</v>
      </c>
      <c r="CO6" s="92">
        <f t="shared" si="61"/>
        <v>0</v>
      </c>
      <c r="CP6" s="92">
        <f t="shared" si="62"/>
        <v>0</v>
      </c>
      <c r="CQ6" s="92">
        <f t="shared" si="63"/>
        <v>0</v>
      </c>
      <c r="CR6" s="127">
        <f t="shared" si="85"/>
        <v>0.3</v>
      </c>
      <c r="CS6" s="92">
        <f t="shared" si="86"/>
        <v>0.67221455565758603</v>
      </c>
      <c r="CT6" s="92">
        <f t="shared" si="64"/>
        <v>5.672214555657586</v>
      </c>
      <c r="CU6" s="93">
        <f t="shared" si="65"/>
        <v>0.88148992795290071</v>
      </c>
      <c r="CV6">
        <f t="shared" si="87"/>
        <v>10.56</v>
      </c>
    </row>
    <row r="7" spans="1:100" ht="15.75" thickBot="1" x14ac:dyDescent="0.3">
      <c r="A7" s="12" t="s">
        <v>292</v>
      </c>
      <c r="B7" s="12">
        <f>IF(VoutPri_FBB&lt;0,ABS(VoutPri_FBB)/(VinMax+ABS(VoutPri_FBB)),0)</f>
        <v>0.15789473684210525</v>
      </c>
      <c r="C7" s="12"/>
      <c r="K7">
        <v>3</v>
      </c>
      <c r="L7" s="91">
        <f t="shared" si="0"/>
        <v>11.34</v>
      </c>
      <c r="M7" s="93">
        <f t="shared" si="1"/>
        <v>0.48990789731530476</v>
      </c>
      <c r="N7" s="122">
        <f t="shared" si="66"/>
        <v>8.3924348030386091E-5</v>
      </c>
      <c r="O7" s="97">
        <f t="shared" si="67"/>
        <v>7.5531913227347482E-5</v>
      </c>
      <c r="P7" s="123">
        <f t="shared" si="68"/>
        <v>6.8665375661224994E-5</v>
      </c>
      <c r="Q7" s="127">
        <f t="shared" si="69"/>
        <v>0.44247787610619471</v>
      </c>
      <c r="R7" s="91">
        <f t="shared" si="70"/>
        <v>1.1071918479325886</v>
      </c>
      <c r="S7" s="92">
        <f t="shared" si="2"/>
        <v>0.11534940494354594</v>
      </c>
      <c r="T7" s="92">
        <f t="shared" si="71"/>
        <v>1.1648665504043616</v>
      </c>
      <c r="U7" s="92">
        <f t="shared" si="3"/>
        <v>1.5270507081558693</v>
      </c>
      <c r="V7" s="118">
        <f t="shared" si="72"/>
        <v>0.73682606182331623</v>
      </c>
      <c r="W7" s="103">
        <f t="shared" si="73"/>
        <v>0.55036614860486666</v>
      </c>
      <c r="X7" s="117">
        <f t="shared" si="4"/>
        <v>0.89682539682539686</v>
      </c>
      <c r="Y7" s="103">
        <f t="shared" si="5"/>
        <v>0.18471929559298628</v>
      </c>
      <c r="Z7" s="103">
        <f t="shared" si="6"/>
        <v>0.67081888483238794</v>
      </c>
      <c r="AA7" s="118">
        <f t="shared" si="7"/>
        <v>0.74451043806721107</v>
      </c>
      <c r="AB7" s="117">
        <f t="shared" si="8"/>
        <v>0.89682539682539686</v>
      </c>
      <c r="AC7" s="103">
        <f t="shared" si="9"/>
        <v>0.18471929559298628</v>
      </c>
      <c r="AD7" s="103">
        <f t="shared" si="10"/>
        <v>0.67081888483238794</v>
      </c>
      <c r="AE7" s="118">
        <f t="shared" si="11"/>
        <v>0.44721133287045461</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163">
        <f t="shared" si="28"/>
        <v>3.2115329717385101E-2</v>
      </c>
      <c r="AW7" s="143">
        <f t="shared" si="74"/>
        <v>0</v>
      </c>
      <c r="AX7" s="154">
        <f t="shared" si="29"/>
        <v>0</v>
      </c>
      <c r="AY7" s="155">
        <v>3</v>
      </c>
      <c r="AZ7" s="156">
        <f t="shared" si="30"/>
        <v>0</v>
      </c>
      <c r="BA7" s="157">
        <f t="shared" si="31"/>
        <v>23.558819046916948</v>
      </c>
      <c r="BB7" s="158">
        <f t="shared" si="32"/>
        <v>8.6932042283123529E-3</v>
      </c>
      <c r="BC7" s="157">
        <f t="shared" si="75"/>
        <v>28.06021462890984</v>
      </c>
      <c r="BD7" s="159">
        <f t="shared" si="33"/>
        <v>1.0354219198067732E-2</v>
      </c>
      <c r="BE7" s="24">
        <f t="shared" si="34"/>
        <v>8.0815399734195062E-2</v>
      </c>
      <c r="BF7" s="27">
        <f t="shared" si="35"/>
        <v>0.10199260223234814</v>
      </c>
      <c r="BG7" s="24">
        <f t="shared" si="36"/>
        <v>8.0579089006279261E-2</v>
      </c>
      <c r="BH7" s="61">
        <f t="shared" si="37"/>
        <v>0.14504170792285792</v>
      </c>
      <c r="BI7" s="24">
        <f t="shared" si="38"/>
        <v>8.0579089006279261E-2</v>
      </c>
      <c r="BJ7" s="27">
        <f t="shared" si="39"/>
        <v>0.14504170792285792</v>
      </c>
      <c r="BK7" s="24">
        <f t="shared" si="40"/>
        <v>0</v>
      </c>
      <c r="BL7" s="27">
        <f t="shared" si="41"/>
        <v>0</v>
      </c>
      <c r="BM7" s="24">
        <f t="shared" si="42"/>
        <v>0</v>
      </c>
      <c r="BN7" s="27">
        <f t="shared" si="43"/>
        <v>0</v>
      </c>
      <c r="BO7" s="24">
        <f t="shared" si="44"/>
        <v>0</v>
      </c>
      <c r="BP7" s="27">
        <f t="shared" si="45"/>
        <v>0</v>
      </c>
      <c r="BQ7" s="147">
        <f t="shared" si="46"/>
        <v>0</v>
      </c>
      <c r="BR7" s="27">
        <f t="shared" si="47"/>
        <v>0</v>
      </c>
      <c r="BS7" s="91">
        <f t="shared" si="76"/>
        <v>0.63404959582481757</v>
      </c>
      <c r="BT7" s="101">
        <f t="shared" si="77"/>
        <v>0.63404959582481757</v>
      </c>
      <c r="BU7" s="206">
        <f t="shared" si="78"/>
        <v>0.63404959582481757</v>
      </c>
      <c r="BV7" s="97">
        <f t="shared" si="79"/>
        <v>0.64274280005312989</v>
      </c>
      <c r="BW7" s="123">
        <f t="shared" si="80"/>
        <v>0.64440381502288535</v>
      </c>
      <c r="BX7" s="91">
        <f t="shared" si="81"/>
        <v>1.6800682349633226E-2</v>
      </c>
      <c r="BY7" s="92">
        <f t="shared" si="48"/>
        <v>5.0000000000000001E-3</v>
      </c>
      <c r="BZ7" s="233">
        <f t="shared" si="49"/>
        <v>5.0000000000000001E-3</v>
      </c>
      <c r="CA7" s="92">
        <f t="shared" si="50"/>
        <v>0</v>
      </c>
      <c r="CB7" s="92">
        <f t="shared" si="51"/>
        <v>0</v>
      </c>
      <c r="CC7" s="92">
        <f t="shared" si="52"/>
        <v>0</v>
      </c>
      <c r="CD7" s="92">
        <f t="shared" si="53"/>
        <v>0</v>
      </c>
      <c r="CE7" s="127">
        <f t="shared" si="82"/>
        <v>2.6800682349633228E-2</v>
      </c>
      <c r="CF7" s="91">
        <f t="shared" si="83"/>
        <v>6.9602826877051924E-2</v>
      </c>
      <c r="CG7" s="92">
        <f t="shared" si="54"/>
        <v>0.10134126984126984</v>
      </c>
      <c r="CH7" s="92">
        <f t="shared" si="55"/>
        <v>8.3039388594944152E-3</v>
      </c>
      <c r="CI7" s="92">
        <f t="shared" si="56"/>
        <v>6.8040000000000003E-2</v>
      </c>
      <c r="CJ7" s="93">
        <f t="shared" si="57"/>
        <v>0.09</v>
      </c>
      <c r="CK7" s="127">
        <f t="shared" si="84"/>
        <v>0.33728803557781617</v>
      </c>
      <c r="CL7" s="91">
        <f t="shared" si="58"/>
        <v>0.15</v>
      </c>
      <c r="CM7" s="92">
        <f t="shared" si="59"/>
        <v>0.15</v>
      </c>
      <c r="CN7" s="92">
        <f t="shared" si="60"/>
        <v>0</v>
      </c>
      <c r="CO7" s="92">
        <f t="shared" si="61"/>
        <v>0</v>
      </c>
      <c r="CP7" s="92">
        <f t="shared" si="62"/>
        <v>0</v>
      </c>
      <c r="CQ7" s="92">
        <f t="shared" si="63"/>
        <v>0</v>
      </c>
      <c r="CR7" s="127">
        <f t="shared" si="85"/>
        <v>0.3</v>
      </c>
      <c r="CS7" s="92">
        <f t="shared" si="86"/>
        <v>0.66408871792744928</v>
      </c>
      <c r="CT7" s="92">
        <f t="shared" si="64"/>
        <v>5.6640887179274495</v>
      </c>
      <c r="CU7" s="93">
        <f t="shared" si="65"/>
        <v>0.88275453457755038</v>
      </c>
      <c r="CV7">
        <f t="shared" si="87"/>
        <v>11.34</v>
      </c>
    </row>
    <row r="8" spans="1:100" ht="15.75" thickBot="1" x14ac:dyDescent="0.3">
      <c r="A8" s="12" t="s">
        <v>295</v>
      </c>
      <c r="B8" s="19">
        <f>B7/Fsw</f>
        <v>5.2631578947368416E-7</v>
      </c>
      <c r="C8" s="12" t="s">
        <v>320</v>
      </c>
      <c r="K8">
        <v>4</v>
      </c>
      <c r="L8" s="91">
        <f t="shared" si="0"/>
        <v>12.120000000000001</v>
      </c>
      <c r="M8" s="93">
        <f t="shared" si="1"/>
        <v>0.45837917125045835</v>
      </c>
      <c r="N8" s="122">
        <f t="shared" si="66"/>
        <v>8.8916257747933877E-5</v>
      </c>
      <c r="O8" s="97">
        <f t="shared" si="67"/>
        <v>8.0024631973140491E-5</v>
      </c>
      <c r="P8" s="123">
        <f t="shared" si="68"/>
        <v>7.2749665430127725E-5</v>
      </c>
      <c r="Q8" s="127">
        <f t="shared" si="69"/>
        <v>0.42613636363636359</v>
      </c>
      <c r="R8" s="91">
        <f t="shared" si="70"/>
        <v>1.0756631218677424</v>
      </c>
      <c r="S8" s="92">
        <f t="shared" si="2"/>
        <v>0.11873040752351098</v>
      </c>
      <c r="T8" s="92">
        <f t="shared" si="71"/>
        <v>1.135028325629498</v>
      </c>
      <c r="U8" s="92">
        <f t="shared" si="3"/>
        <v>1.4815998969948398</v>
      </c>
      <c r="V8" s="118">
        <f t="shared" si="72"/>
        <v>0.70253980017638984</v>
      </c>
      <c r="W8" s="103">
        <f t="shared" si="73"/>
        <v>0.53240088861273016</v>
      </c>
      <c r="X8" s="117">
        <f t="shared" si="4"/>
        <v>0.87128712871287117</v>
      </c>
      <c r="Y8" s="103">
        <f t="shared" si="5"/>
        <v>0.19013359673545754</v>
      </c>
      <c r="Z8" s="103">
        <f t="shared" si="6"/>
        <v>0.66134133855556021</v>
      </c>
      <c r="AA8" s="118">
        <f t="shared" si="7"/>
        <v>0.71354135175245403</v>
      </c>
      <c r="AB8" s="117">
        <f t="shared" si="8"/>
        <v>0.87128712871287117</v>
      </c>
      <c r="AC8" s="103">
        <f t="shared" si="9"/>
        <v>0.19013359673545754</v>
      </c>
      <c r="AD8" s="103">
        <f t="shared" si="10"/>
        <v>0.66134133855556021</v>
      </c>
      <c r="AE8" s="118">
        <f t="shared" si="11"/>
        <v>0.43286529784964295</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163">
        <f t="shared" si="28"/>
        <v>3.305666108085463E-2</v>
      </c>
      <c r="AW8" s="143">
        <f t="shared" si="74"/>
        <v>0</v>
      </c>
      <c r="AX8" s="154">
        <f t="shared" si="29"/>
        <v>0</v>
      </c>
      <c r="AY8" s="155">
        <v>4</v>
      </c>
      <c r="AZ8" s="156">
        <f t="shared" si="30"/>
        <v>0</v>
      </c>
      <c r="BA8" s="157">
        <f t="shared" si="31"/>
        <v>25.440607190891903</v>
      </c>
      <c r="BB8" s="158">
        <f t="shared" si="32"/>
        <v>9.3875840534391117E-3</v>
      </c>
      <c r="BC8" s="157">
        <f t="shared" si="75"/>
        <v>30.126981763197083</v>
      </c>
      <c r="BD8" s="159">
        <f t="shared" si="33"/>
        <v>1.1116856270619724E-2</v>
      </c>
      <c r="BE8" s="24">
        <f t="shared" si="34"/>
        <v>7.0748134837397836E-2</v>
      </c>
      <c r="BF8" s="27">
        <f t="shared" si="35"/>
        <v>9.5442715686173116E-2</v>
      </c>
      <c r="BG8" s="24">
        <f t="shared" si="36"/>
        <v>8.0579089006279261E-2</v>
      </c>
      <c r="BH8" s="61">
        <f t="shared" si="37"/>
        <v>0.14097226726178202</v>
      </c>
      <c r="BI8" s="24">
        <f t="shared" si="38"/>
        <v>8.0579089006279261E-2</v>
      </c>
      <c r="BJ8" s="27">
        <f t="shared" si="39"/>
        <v>0.14097226726178202</v>
      </c>
      <c r="BK8" s="24">
        <f t="shared" si="40"/>
        <v>0</v>
      </c>
      <c r="BL8" s="27">
        <f t="shared" si="41"/>
        <v>0</v>
      </c>
      <c r="BM8" s="24">
        <f t="shared" si="42"/>
        <v>0</v>
      </c>
      <c r="BN8" s="27">
        <f t="shared" si="43"/>
        <v>0</v>
      </c>
      <c r="BO8" s="24">
        <f t="shared" si="44"/>
        <v>0</v>
      </c>
      <c r="BP8" s="27">
        <f t="shared" si="45"/>
        <v>0</v>
      </c>
      <c r="BQ8" s="147">
        <f t="shared" si="46"/>
        <v>0</v>
      </c>
      <c r="BR8" s="27">
        <f t="shared" si="47"/>
        <v>0</v>
      </c>
      <c r="BS8" s="91">
        <f t="shared" si="76"/>
        <v>0.60929356305969351</v>
      </c>
      <c r="BT8" s="101">
        <f t="shared" si="77"/>
        <v>0.60929356305969351</v>
      </c>
      <c r="BU8" s="206">
        <f t="shared" si="78"/>
        <v>0.60929356305969351</v>
      </c>
      <c r="BV8" s="97">
        <f t="shared" si="79"/>
        <v>0.6186811471131326</v>
      </c>
      <c r="BW8" s="123">
        <f t="shared" si="80"/>
        <v>0.62041041933031327</v>
      </c>
      <c r="BX8" s="91">
        <f t="shared" si="81"/>
        <v>1.4707802524537992E-2</v>
      </c>
      <c r="BY8" s="92">
        <f t="shared" si="48"/>
        <v>5.0000000000000001E-3</v>
      </c>
      <c r="BZ8" s="233">
        <f t="shared" si="49"/>
        <v>5.0000000000000001E-3</v>
      </c>
      <c r="CA8" s="92">
        <f t="shared" si="50"/>
        <v>0</v>
      </c>
      <c r="CB8" s="92">
        <f t="shared" si="51"/>
        <v>0</v>
      </c>
      <c r="CC8" s="92">
        <f t="shared" si="52"/>
        <v>0</v>
      </c>
      <c r="CD8" s="92">
        <f t="shared" si="53"/>
        <v>0</v>
      </c>
      <c r="CE8" s="127">
        <f t="shared" si="82"/>
        <v>2.4707802524537994E-2</v>
      </c>
      <c r="CF8" s="91">
        <f t="shared" si="83"/>
        <v>6.0932324744514529E-2</v>
      </c>
      <c r="CG8" s="92">
        <f t="shared" si="54"/>
        <v>0.10223102310231026</v>
      </c>
      <c r="CH8" s="92">
        <f t="shared" si="55"/>
        <v>8.0674734140080695E-3</v>
      </c>
      <c r="CI8" s="92">
        <f t="shared" si="56"/>
        <v>7.2720000000000007E-2</v>
      </c>
      <c r="CJ8" s="93">
        <f t="shared" si="57"/>
        <v>0.09</v>
      </c>
      <c r="CK8" s="127">
        <f t="shared" si="84"/>
        <v>0.33395082126083286</v>
      </c>
      <c r="CL8" s="91">
        <f t="shared" si="58"/>
        <v>0.15</v>
      </c>
      <c r="CM8" s="92">
        <f t="shared" si="59"/>
        <v>0.15</v>
      </c>
      <c r="CN8" s="92">
        <f t="shared" si="60"/>
        <v>0</v>
      </c>
      <c r="CO8" s="92">
        <f t="shared" si="61"/>
        <v>0</v>
      </c>
      <c r="CP8" s="92">
        <f t="shared" si="62"/>
        <v>0</v>
      </c>
      <c r="CQ8" s="92">
        <f t="shared" si="63"/>
        <v>0</v>
      </c>
      <c r="CR8" s="127">
        <f t="shared" si="85"/>
        <v>0.3</v>
      </c>
      <c r="CS8" s="92">
        <f t="shared" si="86"/>
        <v>0.65865862378537088</v>
      </c>
      <c r="CT8" s="92">
        <f t="shared" si="64"/>
        <v>5.6586586237853709</v>
      </c>
      <c r="CU8" s="93">
        <f t="shared" si="65"/>
        <v>0.88360163289992566</v>
      </c>
      <c r="CV8">
        <f t="shared" si="87"/>
        <v>12.120000000000001</v>
      </c>
    </row>
    <row r="9" spans="1:100" ht="15.75" thickBot="1" x14ac:dyDescent="0.3">
      <c r="A9" s="12" t="s">
        <v>293</v>
      </c>
      <c r="B9" s="12">
        <f>IF(VoutPri_FBB&lt;0,ABS(VoutPri_FBB)/(VinMin+ABS(VoutPri_FBB)),0)</f>
        <v>0.5</v>
      </c>
      <c r="C9" s="12"/>
      <c r="K9">
        <v>5</v>
      </c>
      <c r="L9" s="91">
        <f t="shared" si="0"/>
        <v>12.9</v>
      </c>
      <c r="M9" s="93">
        <f t="shared" si="1"/>
        <v>0.43066322136089574</v>
      </c>
      <c r="N9" s="122">
        <f t="shared" si="66"/>
        <v>9.3681741414899608E-5</v>
      </c>
      <c r="O9" s="97">
        <f t="shared" si="67"/>
        <v>8.431356727340966E-5</v>
      </c>
      <c r="P9" s="123">
        <f t="shared" si="68"/>
        <v>7.66486975212815E-5</v>
      </c>
      <c r="Q9" s="127">
        <f t="shared" si="69"/>
        <v>0.41095890410958907</v>
      </c>
      <c r="R9" s="91">
        <f t="shared" si="70"/>
        <v>1.0479471719781797</v>
      </c>
      <c r="S9" s="92">
        <f t="shared" si="2"/>
        <v>0.12187057156353331</v>
      </c>
      <c r="T9" s="92">
        <f t="shared" si="71"/>
        <v>1.1088824577599463</v>
      </c>
      <c r="U9" s="92">
        <f t="shared" si="3"/>
        <v>1.4413013427254837</v>
      </c>
      <c r="V9" s="118">
        <f t="shared" si="72"/>
        <v>0.67217627894471166</v>
      </c>
      <c r="W9" s="103">
        <f t="shared" si="73"/>
        <v>0.51609121261945057</v>
      </c>
      <c r="X9" s="117">
        <f t="shared" si="4"/>
        <v>0.84883720930232576</v>
      </c>
      <c r="Y9" s="103">
        <f t="shared" si="5"/>
        <v>0.1951622216321636</v>
      </c>
      <c r="Z9" s="103">
        <f t="shared" si="6"/>
        <v>0.65290752443189481</v>
      </c>
      <c r="AA9" s="118">
        <f t="shared" si="7"/>
        <v>0.68594796296523863</v>
      </c>
      <c r="AB9" s="117">
        <f t="shared" si="8"/>
        <v>0.84883720930232576</v>
      </c>
      <c r="AC9" s="103">
        <f t="shared" si="9"/>
        <v>0.1951622216321636</v>
      </c>
      <c r="AD9" s="103">
        <f t="shared" si="10"/>
        <v>0.65290752443189481</v>
      </c>
      <c r="AE9" s="118">
        <f t="shared" si="11"/>
        <v>0.41986692589412822</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163">
        <f t="shared" si="28"/>
        <v>3.3930938703364687E-2</v>
      </c>
      <c r="AW9" s="143">
        <f t="shared" si="74"/>
        <v>0</v>
      </c>
      <c r="AX9" s="154">
        <f t="shared" si="29"/>
        <v>0</v>
      </c>
      <c r="AY9" s="155">
        <v>5</v>
      </c>
      <c r="AZ9" s="156">
        <f t="shared" si="30"/>
        <v>0</v>
      </c>
      <c r="BA9" s="157">
        <f t="shared" si="31"/>
        <v>27.269903333202429</v>
      </c>
      <c r="BB9" s="158">
        <f t="shared" si="32"/>
        <v>1.0062594329951696E-2</v>
      </c>
      <c r="BC9" s="157">
        <f t="shared" si="75"/>
        <v>32.125091455110493</v>
      </c>
      <c r="BD9" s="159">
        <f t="shared" si="33"/>
        <v>1.1854158746935772E-2</v>
      </c>
      <c r="BE9" s="24">
        <f t="shared" si="34"/>
        <v>6.2451203762145621E-2</v>
      </c>
      <c r="BF9" s="27">
        <f t="shared" si="35"/>
        <v>8.9684661582464062E-2</v>
      </c>
      <c r="BG9" s="24">
        <f t="shared" si="36"/>
        <v>8.0579089006279261E-2</v>
      </c>
      <c r="BH9" s="61">
        <f t="shared" si="37"/>
        <v>0.1373996706697751</v>
      </c>
      <c r="BI9" s="24">
        <f t="shared" si="38"/>
        <v>8.0579089006279261E-2</v>
      </c>
      <c r="BJ9" s="27">
        <f t="shared" si="39"/>
        <v>0.1373996706697751</v>
      </c>
      <c r="BK9" s="24">
        <f t="shared" si="40"/>
        <v>0</v>
      </c>
      <c r="BL9" s="27">
        <f t="shared" si="41"/>
        <v>0</v>
      </c>
      <c r="BM9" s="24">
        <f t="shared" si="42"/>
        <v>0</v>
      </c>
      <c r="BN9" s="27">
        <f t="shared" si="43"/>
        <v>0</v>
      </c>
      <c r="BO9" s="24">
        <f t="shared" si="44"/>
        <v>0</v>
      </c>
      <c r="BP9" s="27">
        <f t="shared" si="45"/>
        <v>0</v>
      </c>
      <c r="BQ9" s="147">
        <f t="shared" si="46"/>
        <v>0</v>
      </c>
      <c r="BR9" s="27">
        <f t="shared" si="47"/>
        <v>0</v>
      </c>
      <c r="BS9" s="91">
        <f t="shared" si="76"/>
        <v>0.58809338469671846</v>
      </c>
      <c r="BT9" s="101">
        <f t="shared" si="77"/>
        <v>0.58809338469671846</v>
      </c>
      <c r="BU9" s="206">
        <f t="shared" si="78"/>
        <v>0.58809338469671846</v>
      </c>
      <c r="BV9" s="97">
        <f t="shared" si="79"/>
        <v>0.59815597902667017</v>
      </c>
      <c r="BW9" s="123">
        <f t="shared" si="80"/>
        <v>0.5999475434436542</v>
      </c>
      <c r="BX9" s="91">
        <f t="shared" si="81"/>
        <v>1.2982956716306074E-2</v>
      </c>
      <c r="BY9" s="92">
        <f t="shared" si="48"/>
        <v>5.0000000000000001E-3</v>
      </c>
      <c r="BZ9" s="233">
        <f t="shared" si="49"/>
        <v>5.0000000000000001E-3</v>
      </c>
      <c r="CA9" s="92">
        <f t="shared" si="50"/>
        <v>0</v>
      </c>
      <c r="CB9" s="92">
        <f t="shared" si="51"/>
        <v>0</v>
      </c>
      <c r="CC9" s="92">
        <f t="shared" si="52"/>
        <v>0</v>
      </c>
      <c r="CD9" s="92">
        <f t="shared" si="53"/>
        <v>0</v>
      </c>
      <c r="CE9" s="127">
        <f t="shared" si="82"/>
        <v>2.2982956716306076E-2</v>
      </c>
      <c r="CF9" s="91">
        <f t="shared" si="83"/>
        <v>5.3786534967553729E-2</v>
      </c>
      <c r="CG9" s="92">
        <f t="shared" si="54"/>
        <v>0.10327519379844963</v>
      </c>
      <c r="CH9" s="92">
        <f t="shared" si="55"/>
        <v>7.8596037898363488E-3</v>
      </c>
      <c r="CI9" s="92">
        <f t="shared" si="56"/>
        <v>7.7399999999999997E-2</v>
      </c>
      <c r="CJ9" s="93">
        <f t="shared" si="57"/>
        <v>0.09</v>
      </c>
      <c r="CK9" s="127">
        <f t="shared" si="84"/>
        <v>0.33232133255583973</v>
      </c>
      <c r="CL9" s="91">
        <f t="shared" si="58"/>
        <v>0.15</v>
      </c>
      <c r="CM9" s="92">
        <f t="shared" si="59"/>
        <v>0.15</v>
      </c>
      <c r="CN9" s="92">
        <f t="shared" si="60"/>
        <v>0</v>
      </c>
      <c r="CO9" s="92">
        <f t="shared" si="61"/>
        <v>0</v>
      </c>
      <c r="CP9" s="92">
        <f t="shared" si="62"/>
        <v>0</v>
      </c>
      <c r="CQ9" s="92">
        <f t="shared" si="63"/>
        <v>0</v>
      </c>
      <c r="CR9" s="127">
        <f t="shared" si="85"/>
        <v>0.3</v>
      </c>
      <c r="CS9" s="92">
        <f t="shared" si="86"/>
        <v>0.65530428927214579</v>
      </c>
      <c r="CT9" s="92">
        <f t="shared" si="64"/>
        <v>5.6553042892721459</v>
      </c>
      <c r="CU9" s="93">
        <f t="shared" si="65"/>
        <v>0.88412572414269053</v>
      </c>
      <c r="CV9">
        <f t="shared" si="87"/>
        <v>12.9</v>
      </c>
    </row>
    <row r="10" spans="1:100" ht="15.75" thickBot="1" x14ac:dyDescent="0.3">
      <c r="A10" s="12" t="s">
        <v>294</v>
      </c>
      <c r="B10" s="19">
        <f>B9/Fsw</f>
        <v>1.6666666666666667E-6</v>
      </c>
      <c r="C10" s="12" t="s">
        <v>320</v>
      </c>
      <c r="K10">
        <v>6</v>
      </c>
      <c r="L10" s="91">
        <f t="shared" si="0"/>
        <v>13.68</v>
      </c>
      <c r="M10" s="93">
        <f t="shared" si="1"/>
        <v>0.40610786224821316</v>
      </c>
      <c r="N10" s="122">
        <f t="shared" si="66"/>
        <v>9.8231292517006753E-5</v>
      </c>
      <c r="O10" s="97">
        <f t="shared" si="67"/>
        <v>8.8408163265306085E-5</v>
      </c>
      <c r="P10" s="123">
        <f t="shared" si="68"/>
        <v>8.0371057513914631E-5</v>
      </c>
      <c r="Q10" s="127">
        <f t="shared" si="69"/>
        <v>0.3968253968253968</v>
      </c>
      <c r="R10" s="91">
        <f t="shared" si="70"/>
        <v>1.0233918128654973</v>
      </c>
      <c r="S10" s="92">
        <f t="shared" si="2"/>
        <v>0.12479474548440064</v>
      </c>
      <c r="T10" s="92">
        <f t="shared" si="71"/>
        <v>1.0857891856076975</v>
      </c>
      <c r="U10" s="92">
        <f t="shared" si="3"/>
        <v>1.4053019827217184</v>
      </c>
      <c r="V10" s="118">
        <f t="shared" si="72"/>
        <v>0.64507555031522179</v>
      </c>
      <c r="W10" s="103">
        <f t="shared" si="73"/>
        <v>0.50119743598174216</v>
      </c>
      <c r="X10" s="117">
        <f t="shared" si="4"/>
        <v>0.82894736842105254</v>
      </c>
      <c r="Y10" s="103">
        <f t="shared" si="5"/>
        <v>0.19984496227671536</v>
      </c>
      <c r="Z10" s="103">
        <f t="shared" si="6"/>
        <v>0.64535350798514135</v>
      </c>
      <c r="AA10" s="118">
        <f t="shared" si="7"/>
        <v>0.66117602770532158</v>
      </c>
      <c r="AB10" s="117">
        <f t="shared" si="8"/>
        <v>0.82894736842105254</v>
      </c>
      <c r="AC10" s="103">
        <f t="shared" si="9"/>
        <v>0.19984496227671536</v>
      </c>
      <c r="AD10" s="103">
        <f t="shared" si="10"/>
        <v>0.64535350798514135</v>
      </c>
      <c r="AE10" s="118">
        <f t="shared" si="11"/>
        <v>0.40802101694487247</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163">
        <f t="shared" si="28"/>
        <v>3.4745080828030135E-2</v>
      </c>
      <c r="AW10" s="143">
        <f t="shared" si="74"/>
        <v>0</v>
      </c>
      <c r="AX10" s="154">
        <f t="shared" si="29"/>
        <v>0</v>
      </c>
      <c r="AY10" s="155">
        <v>6</v>
      </c>
      <c r="AZ10" s="156">
        <f t="shared" si="30"/>
        <v>0</v>
      </c>
      <c r="BA10" s="157">
        <f t="shared" si="31"/>
        <v>29.045230007787854</v>
      </c>
      <c r="BB10" s="158">
        <f t="shared" si="32"/>
        <v>1.0717689872873718E-2</v>
      </c>
      <c r="BC10" s="157">
        <f t="shared" si="75"/>
        <v>34.054625124362985</v>
      </c>
      <c r="BD10" s="159">
        <f t="shared" si="33"/>
        <v>1.2566156670889943E-2</v>
      </c>
      <c r="BE10" s="24">
        <f t="shared" si="34"/>
        <v>5.5532604145605992E-2</v>
      </c>
      <c r="BF10" s="27">
        <f t="shared" si="35"/>
        <v>8.4582969067546226E-2</v>
      </c>
      <c r="BG10" s="24">
        <f t="shared" si="36"/>
        <v>8.0579089006279261E-2</v>
      </c>
      <c r="BH10" s="61">
        <f t="shared" si="37"/>
        <v>0.13423868670776556</v>
      </c>
      <c r="BI10" s="24">
        <f t="shared" si="38"/>
        <v>8.0579089006279261E-2</v>
      </c>
      <c r="BJ10" s="27">
        <f t="shared" si="39"/>
        <v>0.13423868670776556</v>
      </c>
      <c r="BK10" s="24">
        <f t="shared" si="40"/>
        <v>0</v>
      </c>
      <c r="BL10" s="27">
        <f t="shared" si="41"/>
        <v>0</v>
      </c>
      <c r="BM10" s="24">
        <f t="shared" si="42"/>
        <v>0</v>
      </c>
      <c r="BN10" s="27">
        <f t="shared" si="43"/>
        <v>0</v>
      </c>
      <c r="BO10" s="24">
        <f t="shared" si="44"/>
        <v>0</v>
      </c>
      <c r="BP10" s="27">
        <f t="shared" si="45"/>
        <v>0</v>
      </c>
      <c r="BQ10" s="147">
        <f t="shared" si="46"/>
        <v>0</v>
      </c>
      <c r="BR10" s="27">
        <f t="shared" si="47"/>
        <v>0</v>
      </c>
      <c r="BS10" s="91">
        <f t="shared" si="76"/>
        <v>0.56975112464124189</v>
      </c>
      <c r="BT10" s="101">
        <f t="shared" si="77"/>
        <v>0.56975112464124189</v>
      </c>
      <c r="BU10" s="206">
        <f t="shared" si="78"/>
        <v>0.56975112464124189</v>
      </c>
      <c r="BV10" s="97">
        <f t="shared" si="79"/>
        <v>0.58046881451411558</v>
      </c>
      <c r="BW10" s="123">
        <f t="shared" si="80"/>
        <v>0.58231728131213178</v>
      </c>
      <c r="BX10" s="91">
        <f t="shared" si="81"/>
        <v>1.1544651704586958E-2</v>
      </c>
      <c r="BY10" s="92">
        <f t="shared" si="48"/>
        <v>5.0000000000000001E-3</v>
      </c>
      <c r="BZ10" s="233">
        <f t="shared" si="49"/>
        <v>5.0000000000000001E-3</v>
      </c>
      <c r="CA10" s="92">
        <f t="shared" si="50"/>
        <v>0</v>
      </c>
      <c r="CB10" s="92">
        <f t="shared" si="51"/>
        <v>0</v>
      </c>
      <c r="CC10" s="92">
        <f t="shared" si="52"/>
        <v>0</v>
      </c>
      <c r="CD10" s="92">
        <f t="shared" si="53"/>
        <v>0</v>
      </c>
      <c r="CE10" s="127">
        <f t="shared" si="82"/>
        <v>2.154465170458696E-2</v>
      </c>
      <c r="CF10" s="91">
        <f t="shared" si="83"/>
        <v>4.7827842776145962E-2</v>
      </c>
      <c r="CG10" s="92">
        <f t="shared" si="54"/>
        <v>0.10444736842105266</v>
      </c>
      <c r="CH10" s="92">
        <f t="shared" si="55"/>
        <v>7.6754385964912302E-3</v>
      </c>
      <c r="CI10" s="92">
        <f t="shared" si="56"/>
        <v>8.208E-2</v>
      </c>
      <c r="CJ10" s="93">
        <f t="shared" si="57"/>
        <v>0.09</v>
      </c>
      <c r="CK10" s="127">
        <f t="shared" si="84"/>
        <v>0.33203064979368979</v>
      </c>
      <c r="CL10" s="91">
        <f t="shared" si="58"/>
        <v>0.15</v>
      </c>
      <c r="CM10" s="92">
        <f t="shared" si="59"/>
        <v>0.15</v>
      </c>
      <c r="CN10" s="92">
        <f t="shared" si="60"/>
        <v>0</v>
      </c>
      <c r="CO10" s="92">
        <f t="shared" si="61"/>
        <v>0</v>
      </c>
      <c r="CP10" s="92">
        <f t="shared" si="62"/>
        <v>0</v>
      </c>
      <c r="CQ10" s="92">
        <f t="shared" si="63"/>
        <v>0</v>
      </c>
      <c r="CR10" s="127">
        <f t="shared" si="85"/>
        <v>0.3</v>
      </c>
      <c r="CS10" s="92">
        <f t="shared" si="86"/>
        <v>0.65357530149827681</v>
      </c>
      <c r="CT10" s="92">
        <f t="shared" si="64"/>
        <v>5.653575301498277</v>
      </c>
      <c r="CU10" s="93">
        <f t="shared" si="65"/>
        <v>0.88439610925053558</v>
      </c>
      <c r="CV10">
        <f t="shared" si="87"/>
        <v>13.68</v>
      </c>
    </row>
    <row r="11" spans="1:100" ht="15.75" thickBot="1" x14ac:dyDescent="0.3">
      <c r="A11" s="310" t="s">
        <v>290</v>
      </c>
      <c r="B11" s="310"/>
      <c r="C11" s="310"/>
      <c r="K11">
        <v>7</v>
      </c>
      <c r="L11" s="91">
        <f t="shared" si="0"/>
        <v>14.46</v>
      </c>
      <c r="M11" s="93">
        <f t="shared" si="1"/>
        <v>0.38420162901490701</v>
      </c>
      <c r="N11" s="122">
        <f t="shared" si="66"/>
        <v>1.0257566342449355E-4</v>
      </c>
      <c r="O11" s="97">
        <f t="shared" si="67"/>
        <v>9.2318097082044206E-5</v>
      </c>
      <c r="P11" s="123">
        <f t="shared" si="68"/>
        <v>8.3925542801858359E-5</v>
      </c>
      <c r="Q11" s="127">
        <f t="shared" si="69"/>
        <v>0.38363171355498721</v>
      </c>
      <c r="R11" s="91">
        <f t="shared" si="70"/>
        <v>1.0014855796321909</v>
      </c>
      <c r="S11" s="92">
        <f t="shared" si="2"/>
        <v>0.12752447305758885</v>
      </c>
      <c r="T11" s="92">
        <f t="shared" si="71"/>
        <v>1.0652478161609853</v>
      </c>
      <c r="U11" s="92">
        <f t="shared" si="3"/>
        <v>1.3729289128881987</v>
      </c>
      <c r="V11" s="118">
        <f t="shared" si="72"/>
        <v>0.62071917301171853</v>
      </c>
      <c r="W11" s="103">
        <f t="shared" si="73"/>
        <v>0.48752579419620817</v>
      </c>
      <c r="X11" s="117">
        <f t="shared" si="4"/>
        <v>0.81120331950207458</v>
      </c>
      <c r="Y11" s="103">
        <f t="shared" si="5"/>
        <v>0.20421631863288259</v>
      </c>
      <c r="Z11" s="103">
        <f t="shared" si="6"/>
        <v>0.63854816627884581</v>
      </c>
      <c r="AA11" s="118">
        <f t="shared" si="7"/>
        <v>0.63878856092699787</v>
      </c>
      <c r="AB11" s="117">
        <f t="shared" si="8"/>
        <v>0.81120331950207458</v>
      </c>
      <c r="AC11" s="103">
        <f t="shared" si="9"/>
        <v>0.20421631863288259</v>
      </c>
      <c r="AD11" s="103">
        <f t="shared" si="10"/>
        <v>0.63854816627884581</v>
      </c>
      <c r="AE11" s="118">
        <f t="shared" si="11"/>
        <v>0.3971696874864401</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163">
        <f t="shared" si="28"/>
        <v>3.5505085624712718E-2</v>
      </c>
      <c r="AW11" s="143">
        <f t="shared" si="74"/>
        <v>0</v>
      </c>
      <c r="AX11" s="154">
        <f t="shared" si="29"/>
        <v>0</v>
      </c>
      <c r="AY11" s="155">
        <v>7</v>
      </c>
      <c r="AZ11" s="156">
        <f t="shared" si="30"/>
        <v>0</v>
      </c>
      <c r="BA11" s="157">
        <f t="shared" si="31"/>
        <v>30.766030985926161</v>
      </c>
      <c r="BB11" s="158">
        <f t="shared" si="32"/>
        <v>1.1352665433806754E-2</v>
      </c>
      <c r="BC11" s="157">
        <f t="shared" si="75"/>
        <v>35.91644215907916</v>
      </c>
      <c r="BD11" s="159">
        <f t="shared" si="33"/>
        <v>1.325316715670021E-2</v>
      </c>
      <c r="BE11" s="24">
        <f t="shared" si="34"/>
        <v>4.970311967605897E-2</v>
      </c>
      <c r="BF11" s="27">
        <f t="shared" si="35"/>
        <v>8.0031405069315803E-2</v>
      </c>
      <c r="BG11" s="24">
        <f t="shared" si="36"/>
        <v>8.0579089006279261E-2</v>
      </c>
      <c r="BH11" s="61">
        <f t="shared" si="37"/>
        <v>0.13142248312728869</v>
      </c>
      <c r="BI11" s="24">
        <f t="shared" si="38"/>
        <v>8.0579089006279261E-2</v>
      </c>
      <c r="BJ11" s="27">
        <f t="shared" si="39"/>
        <v>0.13142248312728869</v>
      </c>
      <c r="BK11" s="24">
        <f t="shared" si="40"/>
        <v>0</v>
      </c>
      <c r="BL11" s="27">
        <f t="shared" si="41"/>
        <v>0</v>
      </c>
      <c r="BM11" s="24">
        <f t="shared" si="42"/>
        <v>0</v>
      </c>
      <c r="BN11" s="27">
        <f t="shared" si="43"/>
        <v>0</v>
      </c>
      <c r="BO11" s="24">
        <f t="shared" si="44"/>
        <v>0</v>
      </c>
      <c r="BP11" s="27">
        <f t="shared" si="45"/>
        <v>0</v>
      </c>
      <c r="BQ11" s="147">
        <f t="shared" si="46"/>
        <v>0</v>
      </c>
      <c r="BR11" s="27">
        <f t="shared" si="47"/>
        <v>0</v>
      </c>
      <c r="BS11" s="91">
        <f t="shared" si="76"/>
        <v>0.55373766901251065</v>
      </c>
      <c r="BT11" s="101">
        <f t="shared" si="77"/>
        <v>0.55373766901251065</v>
      </c>
      <c r="BU11" s="206">
        <f t="shared" si="78"/>
        <v>0.55373766901251065</v>
      </c>
      <c r="BV11" s="97">
        <f t="shared" si="79"/>
        <v>0.5650903344463174</v>
      </c>
      <c r="BW11" s="123">
        <f t="shared" si="80"/>
        <v>0.56699083616921087</v>
      </c>
      <c r="BX11" s="91">
        <f t="shared" si="81"/>
        <v>1.0332762421639576E-2</v>
      </c>
      <c r="BY11" s="92">
        <f t="shared" si="48"/>
        <v>5.0000000000000001E-3</v>
      </c>
      <c r="BZ11" s="233">
        <f t="shared" si="49"/>
        <v>5.0000000000000001E-3</v>
      </c>
      <c r="CA11" s="92">
        <f t="shared" si="50"/>
        <v>0</v>
      </c>
      <c r="CB11" s="92">
        <f t="shared" si="51"/>
        <v>0</v>
      </c>
      <c r="CC11" s="92">
        <f t="shared" si="52"/>
        <v>0</v>
      </c>
      <c r="CD11" s="92">
        <f t="shared" si="53"/>
        <v>0</v>
      </c>
      <c r="CE11" s="127">
        <f t="shared" si="82"/>
        <v>2.0332762421639578E-2</v>
      </c>
      <c r="CF11" s="91">
        <f t="shared" si="83"/>
        <v>4.2807158603935379E-2</v>
      </c>
      <c r="CG11" s="92">
        <f t="shared" si="54"/>
        <v>0.10572683264177041</v>
      </c>
      <c r="CH11" s="92">
        <f t="shared" si="55"/>
        <v>7.5111418472414322E-3</v>
      </c>
      <c r="CI11" s="92">
        <f t="shared" si="56"/>
        <v>8.6760000000000004E-2</v>
      </c>
      <c r="CJ11" s="93">
        <f t="shared" si="57"/>
        <v>0.09</v>
      </c>
      <c r="CK11" s="127">
        <f t="shared" si="84"/>
        <v>0.33280513309294724</v>
      </c>
      <c r="CL11" s="91">
        <f t="shared" si="58"/>
        <v>0.15</v>
      </c>
      <c r="CM11" s="92">
        <f t="shared" si="59"/>
        <v>0.15</v>
      </c>
      <c r="CN11" s="92">
        <f t="shared" si="60"/>
        <v>0</v>
      </c>
      <c r="CO11" s="92">
        <f t="shared" si="61"/>
        <v>0</v>
      </c>
      <c r="CP11" s="92">
        <f t="shared" si="62"/>
        <v>0</v>
      </c>
      <c r="CQ11" s="92">
        <f t="shared" si="63"/>
        <v>0</v>
      </c>
      <c r="CR11" s="127">
        <f t="shared" si="85"/>
        <v>0.3</v>
      </c>
      <c r="CS11" s="92">
        <f t="shared" si="86"/>
        <v>0.65313789551458679</v>
      </c>
      <c r="CT11" s="92">
        <f t="shared" si="64"/>
        <v>5.653137895514587</v>
      </c>
      <c r="CU11" s="93">
        <f t="shared" si="65"/>
        <v>0.88446453852951101</v>
      </c>
      <c r="CV11">
        <f t="shared" si="87"/>
        <v>14.46</v>
      </c>
    </row>
    <row r="12" spans="1:100" ht="15.75" thickBot="1" x14ac:dyDescent="0.3">
      <c r="A12" s="12" t="s">
        <v>306</v>
      </c>
      <c r="B12" s="21">
        <f>IF(AND(VoutPri_FBB&lt;0,Vout1&lt;&gt;0),((ABS(Vout1)+Vdiode1)/ABS(VoutPri_FBB))*Np,0)</f>
        <v>0.58888888888888891</v>
      </c>
      <c r="C12" s="12"/>
      <c r="G12" t="s">
        <v>33</v>
      </c>
      <c r="H12" t="s">
        <v>49</v>
      </c>
      <c r="I12" t="s">
        <v>58</v>
      </c>
      <c r="K12">
        <v>8</v>
      </c>
      <c r="L12" s="91">
        <f t="shared" si="0"/>
        <v>15.24</v>
      </c>
      <c r="M12" s="93">
        <f t="shared" si="1"/>
        <v>0.36453776611256922</v>
      </c>
      <c r="N12" s="122">
        <f t="shared" si="66"/>
        <v>1.0672556612096854E-4</v>
      </c>
      <c r="O12" s="97">
        <f t="shared" si="67"/>
        <v>9.6053009508871687E-5</v>
      </c>
      <c r="P12" s="123">
        <f t="shared" si="68"/>
        <v>8.732091773533789E-5</v>
      </c>
      <c r="Q12" s="127">
        <f t="shared" si="69"/>
        <v>0.37128712871287128</v>
      </c>
      <c r="R12" s="91">
        <f t="shared" si="70"/>
        <v>0.98182171672985308</v>
      </c>
      <c r="S12" s="92">
        <f t="shared" si="2"/>
        <v>0.1300785250938887</v>
      </c>
      <c r="T12" s="92">
        <f t="shared" si="71"/>
        <v>1.0468609792767973</v>
      </c>
      <c r="U12" s="92">
        <f t="shared" si="3"/>
        <v>1.3436440086733246</v>
      </c>
      <c r="V12" s="118">
        <f t="shared" si="72"/>
        <v>0.59869409823990394</v>
      </c>
      <c r="W12" s="103">
        <f t="shared" si="73"/>
        <v>0.47491771955250262</v>
      </c>
      <c r="X12" s="117">
        <f t="shared" si="4"/>
        <v>0.79527559055118113</v>
      </c>
      <c r="Y12" s="103">
        <f t="shared" si="5"/>
        <v>0.208306350075039</v>
      </c>
      <c r="Z12" s="103">
        <f t="shared" si="6"/>
        <v>0.6323853229485743</v>
      </c>
      <c r="AA12" s="118">
        <f t="shared" si="7"/>
        <v>0.61843614458287444</v>
      </c>
      <c r="AB12" s="117">
        <f t="shared" si="8"/>
        <v>0.79527559055118113</v>
      </c>
      <c r="AC12" s="103">
        <f t="shared" si="9"/>
        <v>0.208306350075039</v>
      </c>
      <c r="AD12" s="103">
        <f t="shared" si="10"/>
        <v>0.6323853229485743</v>
      </c>
      <c r="AE12" s="118">
        <f t="shared" si="11"/>
        <v>0.38718367305553142</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163">
        <f t="shared" si="28"/>
        <v>3.6216179221608795E-2</v>
      </c>
      <c r="AW12" s="143">
        <f t="shared" si="74"/>
        <v>0</v>
      </c>
      <c r="AX12" s="154">
        <f t="shared" si="29"/>
        <v>0</v>
      </c>
      <c r="AY12" s="155">
        <v>8</v>
      </c>
      <c r="AZ12" s="156">
        <f t="shared" si="30"/>
        <v>0</v>
      </c>
      <c r="BA12" s="157">
        <f t="shared" si="31"/>
        <v>32.432435984371473</v>
      </c>
      <c r="BB12" s="158">
        <f t="shared" si="32"/>
        <v>1.1967568878233074E-2</v>
      </c>
      <c r="BC12" s="157">
        <f t="shared" si="75"/>
        <v>37.711950279374001</v>
      </c>
      <c r="BD12" s="159">
        <f t="shared" si="33"/>
        <v>1.3915709653089007E-2</v>
      </c>
      <c r="BE12" s="24">
        <f t="shared" si="34"/>
        <v>4.4745596346722996E-2</v>
      </c>
      <c r="BF12" s="27">
        <f t="shared" si="35"/>
        <v>7.5945490649442518E-2</v>
      </c>
      <c r="BG12" s="24">
        <f t="shared" si="36"/>
        <v>8.0579089006279261E-2</v>
      </c>
      <c r="BH12" s="61">
        <f t="shared" si="37"/>
        <v>0.12889791964779052</v>
      </c>
      <c r="BI12" s="24">
        <f t="shared" si="38"/>
        <v>8.0579089006279261E-2</v>
      </c>
      <c r="BJ12" s="27">
        <f t="shared" si="39"/>
        <v>0.12889791964779052</v>
      </c>
      <c r="BK12" s="24">
        <f t="shared" si="40"/>
        <v>0</v>
      </c>
      <c r="BL12" s="27">
        <f t="shared" si="41"/>
        <v>0</v>
      </c>
      <c r="BM12" s="24">
        <f t="shared" si="42"/>
        <v>0</v>
      </c>
      <c r="BN12" s="27">
        <f t="shared" si="43"/>
        <v>0</v>
      </c>
      <c r="BO12" s="24">
        <f t="shared" si="44"/>
        <v>0</v>
      </c>
      <c r="BP12" s="27">
        <f t="shared" si="45"/>
        <v>0</v>
      </c>
      <c r="BQ12" s="147">
        <f t="shared" si="46"/>
        <v>0</v>
      </c>
      <c r="BR12" s="27">
        <f t="shared" si="47"/>
        <v>0</v>
      </c>
      <c r="BS12" s="91">
        <f t="shared" si="76"/>
        <v>0.53964510430430512</v>
      </c>
      <c r="BT12" s="101">
        <f t="shared" si="77"/>
        <v>0.53964510430430512</v>
      </c>
      <c r="BU12" s="206">
        <f t="shared" si="78"/>
        <v>0.53964510430430512</v>
      </c>
      <c r="BV12" s="97">
        <f t="shared" si="79"/>
        <v>0.55161267318253815</v>
      </c>
      <c r="BW12" s="123">
        <f t="shared" si="80"/>
        <v>0.55356081395739409</v>
      </c>
      <c r="BX12" s="91">
        <f t="shared" si="81"/>
        <v>9.3021448045639554E-3</v>
      </c>
      <c r="BY12" s="92">
        <f t="shared" si="48"/>
        <v>5.0000000000000001E-3</v>
      </c>
      <c r="BZ12" s="233">
        <f t="shared" si="49"/>
        <v>5.0000000000000001E-3</v>
      </c>
      <c r="CA12" s="92">
        <f t="shared" si="50"/>
        <v>0</v>
      </c>
      <c r="CB12" s="92">
        <f t="shared" si="51"/>
        <v>0</v>
      </c>
      <c r="CC12" s="92">
        <f t="shared" si="52"/>
        <v>0</v>
      </c>
      <c r="CD12" s="92">
        <f t="shared" si="53"/>
        <v>0</v>
      </c>
      <c r="CE12" s="127">
        <f t="shared" si="82"/>
        <v>1.9302144804563957E-2</v>
      </c>
      <c r="CF12" s="91">
        <f t="shared" si="83"/>
        <v>3.853745704747924E-2</v>
      </c>
      <c r="CG12" s="92">
        <f t="shared" si="54"/>
        <v>0.10709711286089238</v>
      </c>
      <c r="CH12" s="92">
        <f t="shared" si="55"/>
        <v>7.3636628754738991E-3</v>
      </c>
      <c r="CI12" s="92">
        <f t="shared" si="56"/>
        <v>9.1440000000000007E-2</v>
      </c>
      <c r="CJ12" s="93">
        <f t="shared" si="57"/>
        <v>0.09</v>
      </c>
      <c r="CK12" s="127">
        <f t="shared" si="84"/>
        <v>0.33443823278384555</v>
      </c>
      <c r="CL12" s="91">
        <f t="shared" si="58"/>
        <v>0.15</v>
      </c>
      <c r="CM12" s="92">
        <f t="shared" si="59"/>
        <v>0.15</v>
      </c>
      <c r="CN12" s="92">
        <f t="shared" si="60"/>
        <v>0</v>
      </c>
      <c r="CO12" s="92">
        <f t="shared" si="61"/>
        <v>0</v>
      </c>
      <c r="CP12" s="92">
        <f t="shared" si="62"/>
        <v>0</v>
      </c>
      <c r="CQ12" s="92">
        <f t="shared" si="63"/>
        <v>0</v>
      </c>
      <c r="CR12" s="127">
        <f t="shared" si="85"/>
        <v>0.3</v>
      </c>
      <c r="CS12" s="92">
        <f t="shared" si="86"/>
        <v>0.65374037758840953</v>
      </c>
      <c r="CT12" s="92">
        <f t="shared" si="64"/>
        <v>5.6537403775884094</v>
      </c>
      <c r="CU12" s="93">
        <f t="shared" si="65"/>
        <v>0.88437028693785535</v>
      </c>
      <c r="CV12">
        <f t="shared" si="87"/>
        <v>15.24</v>
      </c>
    </row>
    <row r="13" spans="1:100" ht="15.75" thickBot="1" x14ac:dyDescent="0.3">
      <c r="A13" s="12" t="s">
        <v>307</v>
      </c>
      <c r="B13" s="12">
        <f>IF(n1_FlyBB_Calc&lt;&gt;0,n1_FlyBB/Np,0)</f>
        <v>0.58899999999999997</v>
      </c>
      <c r="C13" s="12"/>
      <c r="F13" t="s">
        <v>55</v>
      </c>
      <c r="G13">
        <f>IF(VoutPri_FBB&lt;0,ABS(VoutPri_FBB)/(ABS(VoutPri_FBB)+VinMin),0)</f>
        <v>0.5</v>
      </c>
      <c r="H13">
        <f>IF(VoutPri_FBB&lt;0,(IoutPri_FB/(1-G13))+((Ns1_FlyBB/Np)*Iout1)+((Ns2_FlyBB/Np)*Iout2)+((Ns3_FlyBB/Np)*Iout3)+((Ns4_FlyBB/Np)*Iout4)+((Ns5_FlyBB/Np)*Iout5)+((Ns6_FlyBB/Np)*Iout6),0)</f>
        <v>0.58899999999999997</v>
      </c>
      <c r="I13" s="2">
        <f>IF(VoutPri_FBB&lt;0,(G13*VinMin)/(RR*H13*Fsw),0)</f>
        <v>1.2733446519524617E-4</v>
      </c>
      <c r="K13">
        <v>9</v>
      </c>
      <c r="L13" s="91">
        <f t="shared" si="0"/>
        <v>16.02</v>
      </c>
      <c r="M13" s="93">
        <f t="shared" si="1"/>
        <v>0.34678873630184492</v>
      </c>
      <c r="N13" s="122">
        <f t="shared" si="66"/>
        <v>1.1069147559650119E-4</v>
      </c>
      <c r="O13" s="97">
        <f t="shared" si="67"/>
        <v>9.9622328036851076E-5</v>
      </c>
      <c r="P13" s="123">
        <f t="shared" si="68"/>
        <v>9.0565752760773702E-5</v>
      </c>
      <c r="Q13" s="127">
        <f t="shared" si="69"/>
        <v>0.35971223021582732</v>
      </c>
      <c r="R13" s="91">
        <f t="shared" si="70"/>
        <v>0.96407268691912895</v>
      </c>
      <c r="S13" s="92">
        <f t="shared" si="2"/>
        <v>0.132473331679484</v>
      </c>
      <c r="T13" s="92">
        <f t="shared" si="71"/>
        <v>1.0303093527588709</v>
      </c>
      <c r="U13" s="92">
        <f t="shared" si="3"/>
        <v>1.3170116393689812</v>
      </c>
      <c r="V13" s="118">
        <f t="shared" si="72"/>
        <v>0.5786670920868624</v>
      </c>
      <c r="W13" s="103">
        <f t="shared" si="73"/>
        <v>0.46324202727994657</v>
      </c>
      <c r="X13" s="117">
        <f t="shared" si="4"/>
        <v>0.7808988764044944</v>
      </c>
      <c r="Y13" s="103">
        <f t="shared" si="5"/>
        <v>0.21214136756636556</v>
      </c>
      <c r="Z13" s="103">
        <f t="shared" si="6"/>
        <v>0.62677805371996498</v>
      </c>
      <c r="AA13" s="118">
        <f t="shared" si="7"/>
        <v>0.59983585685569163</v>
      </c>
      <c r="AB13" s="117">
        <f t="shared" si="8"/>
        <v>0.7808988764044944</v>
      </c>
      <c r="AC13" s="103">
        <f t="shared" si="9"/>
        <v>0.21214136756636556</v>
      </c>
      <c r="AD13" s="103">
        <f t="shared" si="10"/>
        <v>0.62677805371996498</v>
      </c>
      <c r="AE13" s="118">
        <f t="shared" si="11"/>
        <v>0.37795598768241168</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163">
        <f t="shared" si="28"/>
        <v>3.6882936047475383E-2</v>
      </c>
      <c r="AW13" s="143">
        <f t="shared" si="74"/>
        <v>0</v>
      </c>
      <c r="AX13" s="154">
        <f t="shared" si="29"/>
        <v>0</v>
      </c>
      <c r="AY13" s="155">
        <v>9</v>
      </c>
      <c r="AZ13" s="156">
        <f t="shared" si="30"/>
        <v>0</v>
      </c>
      <c r="BA13" s="157">
        <f t="shared" si="31"/>
        <v>34.045080352499745</v>
      </c>
      <c r="BB13" s="158">
        <f t="shared" si="32"/>
        <v>1.2562634650072405E-2</v>
      </c>
      <c r="BC13" s="157">
        <f t="shared" si="75"/>
        <v>39.44293424743362</v>
      </c>
      <c r="BD13" s="159">
        <f t="shared" si="33"/>
        <v>1.4554442737303006E-2</v>
      </c>
      <c r="BE13" s="24">
        <f t="shared" si="34"/>
        <v>4.0494422616465117E-2</v>
      </c>
      <c r="BF13" s="27">
        <f t="shared" si="35"/>
        <v>7.2257203887879498E-2</v>
      </c>
      <c r="BG13" s="24">
        <f t="shared" si="36"/>
        <v>8.0579089006279261E-2</v>
      </c>
      <c r="BH13" s="61">
        <f t="shared" si="37"/>
        <v>0.12662221531221807</v>
      </c>
      <c r="BI13" s="24">
        <f t="shared" si="38"/>
        <v>8.0579089006279261E-2</v>
      </c>
      <c r="BJ13" s="27">
        <f t="shared" si="39"/>
        <v>0.12662221531221807</v>
      </c>
      <c r="BK13" s="24">
        <f t="shared" si="40"/>
        <v>0</v>
      </c>
      <c r="BL13" s="27">
        <f t="shared" si="41"/>
        <v>0</v>
      </c>
      <c r="BM13" s="24">
        <f t="shared" si="42"/>
        <v>0</v>
      </c>
      <c r="BN13" s="27">
        <f t="shared" si="43"/>
        <v>0</v>
      </c>
      <c r="BO13" s="24">
        <f t="shared" si="44"/>
        <v>0</v>
      </c>
      <c r="BP13" s="27">
        <f t="shared" si="45"/>
        <v>0</v>
      </c>
      <c r="BQ13" s="147">
        <f t="shared" si="46"/>
        <v>0</v>
      </c>
      <c r="BR13" s="27">
        <f t="shared" si="47"/>
        <v>0</v>
      </c>
      <c r="BS13" s="91">
        <f t="shared" si="76"/>
        <v>0.52715423514133919</v>
      </c>
      <c r="BT13" s="101">
        <f t="shared" si="77"/>
        <v>0.52715423514133919</v>
      </c>
      <c r="BU13" s="206">
        <f t="shared" si="78"/>
        <v>0.52715423514133919</v>
      </c>
      <c r="BV13" s="97">
        <f t="shared" si="79"/>
        <v>0.53971686979141165</v>
      </c>
      <c r="BW13" s="123">
        <f t="shared" si="80"/>
        <v>0.54170867787864219</v>
      </c>
      <c r="BX13" s="91">
        <f t="shared" si="81"/>
        <v>8.4183699338081387E-3</v>
      </c>
      <c r="BY13" s="92">
        <f t="shared" si="48"/>
        <v>5.0000000000000001E-3</v>
      </c>
      <c r="BZ13" s="233">
        <f t="shared" si="49"/>
        <v>5.0000000000000001E-3</v>
      </c>
      <c r="CA13" s="92">
        <f t="shared" si="50"/>
        <v>0</v>
      </c>
      <c r="CB13" s="92">
        <f t="shared" si="51"/>
        <v>0</v>
      </c>
      <c r="CC13" s="92">
        <f t="shared" si="52"/>
        <v>0</v>
      </c>
      <c r="CD13" s="92">
        <f t="shared" si="53"/>
        <v>0</v>
      </c>
      <c r="CE13" s="127">
        <f t="shared" si="82"/>
        <v>1.8418369933808139E-2</v>
      </c>
      <c r="CF13" s="91">
        <f t="shared" si="83"/>
        <v>3.4876104011490855E-2</v>
      </c>
      <c r="CG13" s="92">
        <f t="shared" si="54"/>
        <v>0.10854494382022473</v>
      </c>
      <c r="CH13" s="92">
        <f t="shared" si="55"/>
        <v>7.230545151893468E-3</v>
      </c>
      <c r="CI13" s="92">
        <f t="shared" si="56"/>
        <v>9.6119999999999997E-2</v>
      </c>
      <c r="CJ13" s="93">
        <f t="shared" si="57"/>
        <v>0.09</v>
      </c>
      <c r="CK13" s="127">
        <f t="shared" si="84"/>
        <v>0.33677159298360904</v>
      </c>
      <c r="CL13" s="91">
        <f t="shared" si="58"/>
        <v>0.15</v>
      </c>
      <c r="CM13" s="92">
        <f t="shared" si="59"/>
        <v>0.15</v>
      </c>
      <c r="CN13" s="92">
        <f t="shared" si="60"/>
        <v>0</v>
      </c>
      <c r="CO13" s="92">
        <f t="shared" si="61"/>
        <v>0</v>
      </c>
      <c r="CP13" s="92">
        <f t="shared" si="62"/>
        <v>0</v>
      </c>
      <c r="CQ13" s="92">
        <f t="shared" si="63"/>
        <v>0</v>
      </c>
      <c r="CR13" s="127">
        <f t="shared" si="85"/>
        <v>0.3</v>
      </c>
      <c r="CS13" s="92">
        <f t="shared" si="86"/>
        <v>0.65518996291741727</v>
      </c>
      <c r="CT13" s="92">
        <f t="shared" si="64"/>
        <v>5.6551899629174169</v>
      </c>
      <c r="CU13" s="93">
        <f t="shared" si="65"/>
        <v>0.8841435977900528</v>
      </c>
      <c r="CV13">
        <f t="shared" si="87"/>
        <v>16.02</v>
      </c>
    </row>
    <row r="14" spans="1:100" ht="15.75" thickBot="1" x14ac:dyDescent="0.3">
      <c r="A14" s="12" t="s">
        <v>308</v>
      </c>
      <c r="B14" s="12">
        <f>IF(AND(VoutPri_FBB&lt;0,Vout2&lt;&gt;0),((ABS(Vout2)+Vdiode2)/ABS(VoutPri_FBB))*Np,0)</f>
        <v>0.58888888888888891</v>
      </c>
      <c r="C14" s="12"/>
      <c r="F14" t="s">
        <v>56</v>
      </c>
      <c r="G14">
        <f>IF(VoutPri_FBB&lt;0,ABS(VoutPri_FBB)/(ABS(VoutPri_FBB)+VinNom),0)</f>
        <v>0.42857142857142855</v>
      </c>
      <c r="H14">
        <f>IF(VoutPri_FBB&lt;0,(IoutPri_FB/(1-G14))+((Ns1_FlyBB/Np)*Iout1)+((Ns2_FlyBB/Np)*Iout2)+((Ns3_FlyBB/Np)*Iout3)+((Ns4_FlyBB/Np)*Iout4)+((Ns5_FlyBB/Np)*Iout5)+((Ns6_FlyBB/Np)*Iout6),0)</f>
        <v>0.58899999999999997</v>
      </c>
      <c r="I14" s="2">
        <f>IF(VoutPri_FBB&lt;0,(G14*VinNom)/(RR*H14*Fsw),0)</f>
        <v>1.4552510308028134E-4</v>
      </c>
      <c r="K14">
        <v>10</v>
      </c>
      <c r="L14" s="91">
        <f t="shared" si="0"/>
        <v>16.8</v>
      </c>
      <c r="M14" s="93">
        <f t="shared" si="1"/>
        <v>0.33068783068783064</v>
      </c>
      <c r="N14" s="122">
        <f t="shared" si="66"/>
        <v>1.1448350459707951E-4</v>
      </c>
      <c r="O14" s="97">
        <f t="shared" si="67"/>
        <v>1.0303515413737157E-4</v>
      </c>
      <c r="P14" s="123">
        <f t="shared" si="68"/>
        <v>9.366832194306506E-5</v>
      </c>
      <c r="Q14" s="127">
        <f t="shared" si="69"/>
        <v>0.34883720930232559</v>
      </c>
      <c r="R14" s="91">
        <f t="shared" si="70"/>
        <v>0.9479717813051145</v>
      </c>
      <c r="S14" s="92">
        <f t="shared" si="2"/>
        <v>0.13472333600641542</v>
      </c>
      <c r="T14" s="92">
        <f t="shared" si="71"/>
        <v>1.0153334493083221</v>
      </c>
      <c r="U14" s="92">
        <f t="shared" si="3"/>
        <v>1.2926752630371769</v>
      </c>
      <c r="V14" s="118">
        <f t="shared" si="72"/>
        <v>0.560366272324748</v>
      </c>
      <c r="W14" s="103">
        <f t="shared" si="73"/>
        <v>0.45238912209967019</v>
      </c>
      <c r="X14" s="117">
        <f t="shared" si="4"/>
        <v>0.76785714285714279</v>
      </c>
      <c r="Y14" s="103">
        <f t="shared" si="5"/>
        <v>0.21574450027914682</v>
      </c>
      <c r="Z14" s="103">
        <f t="shared" si="6"/>
        <v>0.62165449126691763</v>
      </c>
      <c r="AA14" s="118">
        <f t="shared" si="7"/>
        <v>0.58275603114573993</v>
      </c>
      <c r="AB14" s="117">
        <f t="shared" si="8"/>
        <v>0.76785714285714279</v>
      </c>
      <c r="AC14" s="103">
        <f t="shared" si="9"/>
        <v>0.21574450027914682</v>
      </c>
      <c r="AD14" s="103">
        <f t="shared" si="10"/>
        <v>0.62165449126691763</v>
      </c>
      <c r="AE14" s="118">
        <f t="shared" si="11"/>
        <v>0.36939722049892326</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163">
        <f t="shared" si="28"/>
        <v>3.7509377344336084E-2</v>
      </c>
      <c r="AW14" s="143">
        <f t="shared" si="74"/>
        <v>0</v>
      </c>
      <c r="AX14" s="154">
        <f t="shared" si="29"/>
        <v>0</v>
      </c>
      <c r="AY14" s="155">
        <v>10</v>
      </c>
      <c r="AZ14" s="156">
        <f t="shared" si="30"/>
        <v>0</v>
      </c>
      <c r="BA14" s="157">
        <f t="shared" si="31"/>
        <v>35.604966874704665</v>
      </c>
      <c r="BB14" s="158">
        <f t="shared" si="32"/>
        <v>1.3138232776766021E-2</v>
      </c>
      <c r="BC14" s="157">
        <f t="shared" si="75"/>
        <v>41.111428194304331</v>
      </c>
      <c r="BD14" s="159">
        <f t="shared" si="33"/>
        <v>1.5170117003698297E-2</v>
      </c>
      <c r="BE14" s="24">
        <f t="shared" si="34"/>
        <v>3.6821516503892614E-2</v>
      </c>
      <c r="BF14" s="27">
        <f t="shared" si="35"/>
        <v>6.8911158619712032E-2</v>
      </c>
      <c r="BG14" s="24">
        <f t="shared" si="36"/>
        <v>8.0579089006279261E-2</v>
      </c>
      <c r="BH14" s="61">
        <f t="shared" si="37"/>
        <v>0.12456054384526791</v>
      </c>
      <c r="BI14" s="24">
        <f t="shared" si="38"/>
        <v>8.0579089006279261E-2</v>
      </c>
      <c r="BJ14" s="27">
        <f t="shared" si="39"/>
        <v>0.12456054384526791</v>
      </c>
      <c r="BK14" s="24">
        <f t="shared" si="40"/>
        <v>0</v>
      </c>
      <c r="BL14" s="27">
        <f t="shared" si="41"/>
        <v>0</v>
      </c>
      <c r="BM14" s="24">
        <f t="shared" si="42"/>
        <v>0</v>
      </c>
      <c r="BN14" s="27">
        <f t="shared" si="43"/>
        <v>0</v>
      </c>
      <c r="BO14" s="24">
        <f t="shared" si="44"/>
        <v>0</v>
      </c>
      <c r="BP14" s="27">
        <f t="shared" si="45"/>
        <v>0</v>
      </c>
      <c r="BQ14" s="147">
        <f t="shared" si="46"/>
        <v>0</v>
      </c>
      <c r="BR14" s="27">
        <f t="shared" si="47"/>
        <v>0</v>
      </c>
      <c r="BS14" s="91">
        <f t="shared" si="76"/>
        <v>0.51601194082669899</v>
      </c>
      <c r="BT14" s="101">
        <f t="shared" si="77"/>
        <v>0.51601194082669899</v>
      </c>
      <c r="BU14" s="206">
        <f t="shared" si="78"/>
        <v>0.51601194082669899</v>
      </c>
      <c r="BV14" s="97">
        <f t="shared" si="79"/>
        <v>0.52915017360346506</v>
      </c>
      <c r="BW14" s="123">
        <f t="shared" si="80"/>
        <v>0.53118205783039729</v>
      </c>
      <c r="BX14" s="91">
        <f t="shared" si="81"/>
        <v>7.6548108955516343E-3</v>
      </c>
      <c r="BY14" s="92">
        <f t="shared" si="48"/>
        <v>5.0000000000000001E-3</v>
      </c>
      <c r="BZ14" s="233">
        <f t="shared" si="49"/>
        <v>5.0000000000000001E-3</v>
      </c>
      <c r="CA14" s="92">
        <f t="shared" si="50"/>
        <v>0</v>
      </c>
      <c r="CB14" s="92">
        <f t="shared" si="51"/>
        <v>0</v>
      </c>
      <c r="CC14" s="92">
        <f t="shared" si="52"/>
        <v>0</v>
      </c>
      <c r="CD14" s="92">
        <f t="shared" si="53"/>
        <v>0</v>
      </c>
      <c r="CE14" s="127">
        <f t="shared" si="82"/>
        <v>1.7654810895551636E-2</v>
      </c>
      <c r="CF14" s="91">
        <f t="shared" si="83"/>
        <v>3.1712787995856764E-2</v>
      </c>
      <c r="CG14" s="92">
        <f t="shared" si="54"/>
        <v>0.11005952380952382</v>
      </c>
      <c r="CH14" s="92">
        <f t="shared" si="55"/>
        <v>7.1097883597883594E-3</v>
      </c>
      <c r="CI14" s="92">
        <f t="shared" si="56"/>
        <v>0.10080000000000001</v>
      </c>
      <c r="CJ14" s="93">
        <f t="shared" si="57"/>
        <v>0.09</v>
      </c>
      <c r="CK14" s="127">
        <f t="shared" si="84"/>
        <v>0.33968210016516898</v>
      </c>
      <c r="CL14" s="91">
        <f t="shared" si="58"/>
        <v>0.15</v>
      </c>
      <c r="CM14" s="92">
        <f t="shared" si="59"/>
        <v>0.15</v>
      </c>
      <c r="CN14" s="92">
        <f t="shared" si="60"/>
        <v>0</v>
      </c>
      <c r="CO14" s="92">
        <f t="shared" si="61"/>
        <v>0</v>
      </c>
      <c r="CP14" s="92">
        <f t="shared" si="62"/>
        <v>0</v>
      </c>
      <c r="CQ14" s="92">
        <f t="shared" si="63"/>
        <v>0</v>
      </c>
      <c r="CR14" s="127">
        <f t="shared" si="85"/>
        <v>0.3</v>
      </c>
      <c r="CS14" s="92">
        <f t="shared" si="86"/>
        <v>0.65733691106072056</v>
      </c>
      <c r="CT14" s="92">
        <f t="shared" si="64"/>
        <v>5.657336911060721</v>
      </c>
      <c r="CU14" s="93">
        <f t="shared" si="65"/>
        <v>0.88380806704731441</v>
      </c>
      <c r="CV14">
        <f t="shared" si="87"/>
        <v>16.8</v>
      </c>
    </row>
    <row r="15" spans="1:100" ht="15.75" thickBot="1" x14ac:dyDescent="0.3">
      <c r="A15" s="12" t="s">
        <v>309</v>
      </c>
      <c r="B15" s="12">
        <f>IF(n2_FlyBB_Calc&lt;&gt;0,n2_FlyBB/Np,0)</f>
        <v>0.58899999999999997</v>
      </c>
      <c r="C15" s="12"/>
      <c r="F15" t="s">
        <v>57</v>
      </c>
      <c r="G15">
        <f>IF(VoutPri_FBB&lt;0,ABS(VoutPri_FBB)/(ABS(VoutPri_FBB)+VinMax),0)</f>
        <v>0.15789473684210525</v>
      </c>
      <c r="H15">
        <f>IF(VoutPri_FBB&lt;0,(IoutPri_FB/(1-G15))+((Ns1_FlyBB/Np)*Iout1)+((Ns2_FlyBB/Np)*Iout2)+((Ns3_FlyBB/Np)*Iout3)+((Ns4_FlyBB/Np)*Iout4)+((Ns5_FlyBB/Np)*Iout5)+((Ns6_FlyBB/Np)*Iout6),0)</f>
        <v>0.58899999999999997</v>
      </c>
      <c r="I15" s="2">
        <f>IF(VoutPri_FBB&lt;0,(G15*VinMax)/(RR*H15*Fsw),0)</f>
        <v>2.1445804664462515E-4</v>
      </c>
      <c r="K15">
        <v>11</v>
      </c>
      <c r="L15" s="91">
        <f t="shared" si="0"/>
        <v>17.579999999999998</v>
      </c>
      <c r="M15" s="93">
        <f t="shared" si="1"/>
        <v>0.31601567437744915</v>
      </c>
      <c r="N15" s="122">
        <f t="shared" si="66"/>
        <v>1.1811132795581121E-4</v>
      </c>
      <c r="O15" s="97">
        <f t="shared" si="67"/>
        <v>1.0630019516023011E-4</v>
      </c>
      <c r="P15" s="123">
        <f t="shared" si="68"/>
        <v>9.663654105475463E-5</v>
      </c>
      <c r="Q15" s="127">
        <f t="shared" si="69"/>
        <v>0.33860045146726864</v>
      </c>
      <c r="R15" s="91">
        <f t="shared" si="70"/>
        <v>0.93329962499473307</v>
      </c>
      <c r="S15" s="92">
        <f t="shared" si="2"/>
        <v>0.13684128590332373</v>
      </c>
      <c r="T15" s="92">
        <f t="shared" si="71"/>
        <v>1.001720267946395</v>
      </c>
      <c r="U15" s="92">
        <f t="shared" si="3"/>
        <v>1.2703401721916685</v>
      </c>
      <c r="V15" s="118">
        <f t="shared" si="72"/>
        <v>0.54356755177622673</v>
      </c>
      <c r="W15" s="103">
        <f t="shared" si="73"/>
        <v>0.44226663551727136</v>
      </c>
      <c r="X15" s="117">
        <f t="shared" si="4"/>
        <v>0.75597269624573382</v>
      </c>
      <c r="Y15" s="103">
        <f t="shared" si="5"/>
        <v>0.21913616244896569</v>
      </c>
      <c r="Z15" s="103">
        <f t="shared" si="6"/>
        <v>0.61695468626098637</v>
      </c>
      <c r="AA15" s="118">
        <f t="shared" si="7"/>
        <v>0.56700504183741129</v>
      </c>
      <c r="AB15" s="117">
        <f t="shared" si="8"/>
        <v>0.75597269624573382</v>
      </c>
      <c r="AC15" s="103">
        <f t="shared" si="9"/>
        <v>0.21913616244896569</v>
      </c>
      <c r="AD15" s="103">
        <f t="shared" si="10"/>
        <v>0.61695468626098637</v>
      </c>
      <c r="AE15" s="118">
        <f t="shared" si="11"/>
        <v>0.36143199208065702</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163">
        <f t="shared" si="28"/>
        <v>3.8099052334834752E-2</v>
      </c>
      <c r="AW15" s="143">
        <f t="shared" si="74"/>
        <v>0</v>
      </c>
      <c r="AX15" s="154">
        <f t="shared" si="29"/>
        <v>0</v>
      </c>
      <c r="AY15" s="155">
        <v>11</v>
      </c>
      <c r="AZ15" s="156">
        <f t="shared" si="30"/>
        <v>0</v>
      </c>
      <c r="BA15" s="157">
        <f t="shared" si="31"/>
        <v>37.113359881824678</v>
      </c>
      <c r="BB15" s="158">
        <f t="shared" si="32"/>
        <v>1.3694829796393306E-2</v>
      </c>
      <c r="BC15" s="157">
        <f t="shared" si="75"/>
        <v>42.719620643851336</v>
      </c>
      <c r="BD15" s="159">
        <f t="shared" si="33"/>
        <v>1.5763540017581144E-2</v>
      </c>
      <c r="BE15" s="24">
        <f t="shared" si="34"/>
        <v>3.3626564012454223E-2</v>
      </c>
      <c r="BF15" s="27">
        <f t="shared" si="35"/>
        <v>6.5861800609787899E-2</v>
      </c>
      <c r="BG15" s="24">
        <f t="shared" si="36"/>
        <v>8.0579089006279261E-2</v>
      </c>
      <c r="BH15" s="61">
        <f t="shared" si="37"/>
        <v>0.12268426890737108</v>
      </c>
      <c r="BI15" s="24">
        <f t="shared" si="38"/>
        <v>8.0579089006279261E-2</v>
      </c>
      <c r="BJ15" s="27">
        <f t="shared" si="39"/>
        <v>0.12268426890737108</v>
      </c>
      <c r="BK15" s="24">
        <f t="shared" si="40"/>
        <v>0</v>
      </c>
      <c r="BL15" s="27">
        <f t="shared" si="41"/>
        <v>0</v>
      </c>
      <c r="BM15" s="24">
        <f t="shared" si="42"/>
        <v>0</v>
      </c>
      <c r="BN15" s="27">
        <f t="shared" si="43"/>
        <v>0</v>
      </c>
      <c r="BO15" s="24">
        <f t="shared" si="44"/>
        <v>0</v>
      </c>
      <c r="BP15" s="27">
        <f t="shared" si="45"/>
        <v>0</v>
      </c>
      <c r="BQ15" s="147">
        <f t="shared" si="46"/>
        <v>0</v>
      </c>
      <c r="BR15" s="27">
        <f t="shared" si="47"/>
        <v>0</v>
      </c>
      <c r="BS15" s="91">
        <f t="shared" si="76"/>
        <v>0.5060150804495428</v>
      </c>
      <c r="BT15" s="101">
        <f t="shared" si="77"/>
        <v>0.5060150804495428</v>
      </c>
      <c r="BU15" s="206">
        <f t="shared" si="78"/>
        <v>0.5060150804495428</v>
      </c>
      <c r="BV15" s="97">
        <f t="shared" si="79"/>
        <v>0.51970991024593616</v>
      </c>
      <c r="BW15" s="123">
        <f t="shared" si="80"/>
        <v>0.52177862046712398</v>
      </c>
      <c r="BX15" s="91">
        <f t="shared" si="81"/>
        <v>6.9906134516563787E-3</v>
      </c>
      <c r="BY15" s="92">
        <f t="shared" si="48"/>
        <v>5.0000000000000001E-3</v>
      </c>
      <c r="BZ15" s="233">
        <f t="shared" si="49"/>
        <v>5.0000000000000001E-3</v>
      </c>
      <c r="CA15" s="92">
        <f t="shared" si="50"/>
        <v>0</v>
      </c>
      <c r="CB15" s="92">
        <f t="shared" si="51"/>
        <v>0</v>
      </c>
      <c r="CC15" s="92">
        <f t="shared" si="52"/>
        <v>0</v>
      </c>
      <c r="CD15" s="92">
        <f t="shared" si="53"/>
        <v>0</v>
      </c>
      <c r="CE15" s="127">
        <f t="shared" si="82"/>
        <v>1.6990613451656381E-2</v>
      </c>
      <c r="CF15" s="91">
        <f t="shared" si="83"/>
        <v>2.8961112871147852E-2</v>
      </c>
      <c r="CG15" s="92">
        <f t="shared" si="54"/>
        <v>0.11163196814562003</v>
      </c>
      <c r="CH15" s="92">
        <f t="shared" si="55"/>
        <v>6.9997471874604991E-3</v>
      </c>
      <c r="CI15" s="92">
        <f t="shared" si="56"/>
        <v>0.10548</v>
      </c>
      <c r="CJ15" s="93">
        <f t="shared" si="57"/>
        <v>0.09</v>
      </c>
      <c r="CK15" s="127">
        <f t="shared" si="84"/>
        <v>0.34307282820422835</v>
      </c>
      <c r="CL15" s="91">
        <f t="shared" si="58"/>
        <v>0.15</v>
      </c>
      <c r="CM15" s="92">
        <f t="shared" si="59"/>
        <v>0.15</v>
      </c>
      <c r="CN15" s="92">
        <f t="shared" si="60"/>
        <v>0</v>
      </c>
      <c r="CO15" s="92">
        <f t="shared" si="61"/>
        <v>0</v>
      </c>
      <c r="CP15" s="92">
        <f t="shared" si="62"/>
        <v>0</v>
      </c>
      <c r="CQ15" s="92">
        <f t="shared" si="63"/>
        <v>0</v>
      </c>
      <c r="CR15" s="127">
        <f t="shared" si="85"/>
        <v>0.3</v>
      </c>
      <c r="CS15" s="92">
        <f t="shared" si="86"/>
        <v>0.66006344165588482</v>
      </c>
      <c r="CT15" s="92">
        <f t="shared" si="64"/>
        <v>5.6600634416558844</v>
      </c>
      <c r="CU15" s="93">
        <f t="shared" si="65"/>
        <v>0.88338232451635224</v>
      </c>
      <c r="CV15">
        <f t="shared" si="87"/>
        <v>17.579999999999998</v>
      </c>
    </row>
    <row r="16" spans="1:100" ht="15.75" thickBot="1" x14ac:dyDescent="0.3">
      <c r="A16" s="12" t="s">
        <v>310</v>
      </c>
      <c r="B16" s="12">
        <f>IF(AND(VoutPri_FBB&lt;0,Vout3&lt;&gt;0),((ABS(Vout3)+Vdiode3)/ABS(VoutPri_FBB))*Np,0)</f>
        <v>0</v>
      </c>
      <c r="C16" s="12"/>
      <c r="K16">
        <v>12</v>
      </c>
      <c r="L16" s="91">
        <f t="shared" si="0"/>
        <v>18.36</v>
      </c>
      <c r="M16" s="93">
        <f t="shared" si="1"/>
        <v>0.30259017187121762</v>
      </c>
      <c r="N16" s="122">
        <f t="shared" si="66"/>
        <v>1.2158414127423823E-4</v>
      </c>
      <c r="O16" s="97">
        <f t="shared" si="67"/>
        <v>1.0942572714681442E-4</v>
      </c>
      <c r="P16" s="123">
        <f t="shared" si="68"/>
        <v>9.9477933769831283E-5</v>
      </c>
      <c r="Q16" s="127">
        <f t="shared" si="69"/>
        <v>0.32894736842105265</v>
      </c>
      <c r="R16" s="91">
        <f t="shared" si="70"/>
        <v>0.91987412248850153</v>
      </c>
      <c r="S16" s="92">
        <f t="shared" si="2"/>
        <v>0.13883847549909256</v>
      </c>
      <c r="T16" s="92">
        <f t="shared" si="71"/>
        <v>0.98929336023804781</v>
      </c>
      <c r="U16" s="92">
        <f t="shared" si="3"/>
        <v>1.2497605802250598</v>
      </c>
      <c r="V16" s="118">
        <f t="shared" si="72"/>
        <v>0.52808453044795023</v>
      </c>
      <c r="W16" s="103">
        <f t="shared" si="73"/>
        <v>0.43279609423535592</v>
      </c>
      <c r="X16" s="117">
        <f t="shared" si="4"/>
        <v>0.74509803921568629</v>
      </c>
      <c r="Y16" s="103">
        <f t="shared" si="5"/>
        <v>0.22233444037225983</v>
      </c>
      <c r="Z16" s="103">
        <f t="shared" si="6"/>
        <v>0.61262822561724062</v>
      </c>
      <c r="AA16" s="118">
        <f t="shared" si="7"/>
        <v>0.55242292497963941</v>
      </c>
      <c r="AB16" s="117">
        <f t="shared" si="8"/>
        <v>0.74509803921568629</v>
      </c>
      <c r="AC16" s="103">
        <f t="shared" si="9"/>
        <v>0.22233444037225983</v>
      </c>
      <c r="AD16" s="103">
        <f t="shared" si="10"/>
        <v>0.61262822561724062</v>
      </c>
      <c r="AE16" s="118">
        <f t="shared" si="11"/>
        <v>0.35399624690514542</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163">
        <f t="shared" si="28"/>
        <v>3.8655105505699734E-2</v>
      </c>
      <c r="AW16" s="143">
        <f t="shared" si="74"/>
        <v>0</v>
      </c>
      <c r="AX16" s="154">
        <f t="shared" si="29"/>
        <v>0</v>
      </c>
      <c r="AY16" s="155">
        <v>12</v>
      </c>
      <c r="AZ16" s="156">
        <f t="shared" si="30"/>
        <v>0</v>
      </c>
      <c r="BA16" s="157">
        <f t="shared" si="31"/>
        <v>38.571704192244944</v>
      </c>
      <c r="BB16" s="158">
        <f t="shared" si="32"/>
        <v>1.4232958846938384E-2</v>
      </c>
      <c r="BC16" s="157">
        <f t="shared" si="75"/>
        <v>44.269784110580879</v>
      </c>
      <c r="BD16" s="159">
        <f t="shared" si="33"/>
        <v>1.6335550336804346E-2</v>
      </c>
      <c r="BE16" s="24">
        <f t="shared" si="34"/>
        <v>3.0830096265380639E-2</v>
      </c>
      <c r="BF16" s="27">
        <f t="shared" si="35"/>
        <v>6.3071318559953529E-2</v>
      </c>
      <c r="BG16" s="24">
        <f t="shared" si="36"/>
        <v>8.0579089006279261E-2</v>
      </c>
      <c r="BH16" s="61">
        <f t="shared" si="37"/>
        <v>0.12096962902629188</v>
      </c>
      <c r="BI16" s="24">
        <f t="shared" si="38"/>
        <v>8.0579089006279261E-2</v>
      </c>
      <c r="BJ16" s="27">
        <f t="shared" si="39"/>
        <v>0.12096962902629188</v>
      </c>
      <c r="BK16" s="24">
        <f t="shared" si="40"/>
        <v>0</v>
      </c>
      <c r="BL16" s="27">
        <f t="shared" si="41"/>
        <v>0</v>
      </c>
      <c r="BM16" s="24">
        <f t="shared" si="42"/>
        <v>0</v>
      </c>
      <c r="BN16" s="27">
        <f t="shared" si="43"/>
        <v>0</v>
      </c>
      <c r="BO16" s="24">
        <f t="shared" si="44"/>
        <v>0</v>
      </c>
      <c r="BP16" s="27">
        <f t="shared" si="45"/>
        <v>0</v>
      </c>
      <c r="BQ16" s="147">
        <f t="shared" si="46"/>
        <v>0</v>
      </c>
      <c r="BR16" s="27">
        <f t="shared" si="47"/>
        <v>0</v>
      </c>
      <c r="BS16" s="91">
        <f t="shared" si="76"/>
        <v>0.49699885089047646</v>
      </c>
      <c r="BT16" s="101">
        <f t="shared" si="77"/>
        <v>0.49699885089047646</v>
      </c>
      <c r="BU16" s="206">
        <f t="shared" si="78"/>
        <v>0.49699885089047646</v>
      </c>
      <c r="BV16" s="97">
        <f t="shared" si="79"/>
        <v>0.51123180973741489</v>
      </c>
      <c r="BW16" s="123">
        <f t="shared" si="80"/>
        <v>0.5133344012272808</v>
      </c>
      <c r="BX16" s="91">
        <f t="shared" si="81"/>
        <v>6.4092568479137118E-3</v>
      </c>
      <c r="BY16" s="92">
        <f t="shared" si="48"/>
        <v>5.0000000000000001E-3</v>
      </c>
      <c r="BZ16" s="233">
        <f t="shared" si="49"/>
        <v>5.0000000000000001E-3</v>
      </c>
      <c r="CA16" s="92">
        <f t="shared" si="50"/>
        <v>0</v>
      </c>
      <c r="CB16" s="92">
        <f t="shared" si="51"/>
        <v>0</v>
      </c>
      <c r="CC16" s="92">
        <f t="shared" si="52"/>
        <v>0</v>
      </c>
      <c r="CD16" s="92">
        <f t="shared" si="53"/>
        <v>0</v>
      </c>
      <c r="CE16" s="127">
        <f t="shared" si="82"/>
        <v>1.6409256847913712E-2</v>
      </c>
      <c r="CF16" s="91">
        <f t="shared" si="83"/>
        <v>2.6552635512785375E-2</v>
      </c>
      <c r="CG16" s="92">
        <f t="shared" si="54"/>
        <v>0.1132549019607843</v>
      </c>
      <c r="CH16" s="92">
        <f t="shared" si="55"/>
        <v>6.8990559186637625E-3</v>
      </c>
      <c r="CI16" s="92">
        <f t="shared" si="56"/>
        <v>0.11016000000000001</v>
      </c>
      <c r="CJ16" s="93">
        <f t="shared" si="57"/>
        <v>0.09</v>
      </c>
      <c r="CK16" s="127">
        <f t="shared" si="84"/>
        <v>0.34686659339223347</v>
      </c>
      <c r="CL16" s="91">
        <f t="shared" si="58"/>
        <v>0.15</v>
      </c>
      <c r="CM16" s="92">
        <f t="shared" si="59"/>
        <v>0.15</v>
      </c>
      <c r="CN16" s="92">
        <f t="shared" si="60"/>
        <v>0</v>
      </c>
      <c r="CO16" s="92">
        <f t="shared" si="61"/>
        <v>0</v>
      </c>
      <c r="CP16" s="92">
        <f t="shared" si="62"/>
        <v>0</v>
      </c>
      <c r="CQ16" s="92">
        <f t="shared" si="63"/>
        <v>0</v>
      </c>
      <c r="CR16" s="127">
        <f t="shared" si="85"/>
        <v>0.3</v>
      </c>
      <c r="CS16" s="92">
        <f t="shared" si="86"/>
        <v>0.66327585024014724</v>
      </c>
      <c r="CT16" s="92">
        <f t="shared" si="64"/>
        <v>5.6632758502401472</v>
      </c>
      <c r="CU16" s="93">
        <f t="shared" si="65"/>
        <v>0.88288123909556315</v>
      </c>
      <c r="CV16">
        <f t="shared" si="87"/>
        <v>18.36</v>
      </c>
    </row>
    <row r="17" spans="1:100" ht="15.75" thickBot="1" x14ac:dyDescent="0.3">
      <c r="A17" s="12" t="s">
        <v>311</v>
      </c>
      <c r="B17" s="12">
        <f>IF(n3_FlyBB_Calc&lt;&gt;0,n3_FlyBB/Np,0)</f>
        <v>0</v>
      </c>
      <c r="C17" s="12"/>
      <c r="K17">
        <v>13</v>
      </c>
      <c r="L17" s="91">
        <f t="shared" si="0"/>
        <v>19.14</v>
      </c>
      <c r="M17" s="93">
        <f t="shared" si="1"/>
        <v>0.2902589109485661</v>
      </c>
      <c r="N17" s="122">
        <f t="shared" si="66"/>
        <v>1.2491064325039441E-4</v>
      </c>
      <c r="O17" s="97">
        <f t="shared" si="67"/>
        <v>1.1241957892535496E-4</v>
      </c>
      <c r="P17" s="123">
        <f t="shared" si="68"/>
        <v>1.0219961720486815E-4</v>
      </c>
      <c r="Q17" s="127">
        <f t="shared" si="69"/>
        <v>0.31982942430703626</v>
      </c>
      <c r="R17" s="91">
        <f t="shared" si="70"/>
        <v>0.90754286156584996</v>
      </c>
      <c r="S17" s="92">
        <f t="shared" si="2"/>
        <v>0.14072494669509597</v>
      </c>
      <c r="T17" s="92">
        <f t="shared" si="71"/>
        <v>0.97790533491339793</v>
      </c>
      <c r="U17" s="92">
        <f t="shared" si="3"/>
        <v>1.2307298235098214</v>
      </c>
      <c r="V17" s="118">
        <f t="shared" si="72"/>
        <v>0.513760853660581</v>
      </c>
      <c r="W17" s="103">
        <f t="shared" si="73"/>
        <v>0.4239103435503801</v>
      </c>
      <c r="X17" s="117">
        <f t="shared" si="4"/>
        <v>0.73510971786833867</v>
      </c>
      <c r="Y17" s="103">
        <f t="shared" si="5"/>
        <v>0.22535541504181059</v>
      </c>
      <c r="Z17" s="103">
        <f t="shared" si="6"/>
        <v>0.60863240224893089</v>
      </c>
      <c r="AA17" s="118">
        <f t="shared" si="7"/>
        <v>0.53887502939407805</v>
      </c>
      <c r="AB17" s="117">
        <f t="shared" si="8"/>
        <v>0.73510971786833867</v>
      </c>
      <c r="AC17" s="103">
        <f t="shared" si="9"/>
        <v>0.22535541504181059</v>
      </c>
      <c r="AD17" s="103">
        <f t="shared" si="10"/>
        <v>0.60863240224893089</v>
      </c>
      <c r="AE17" s="118">
        <f t="shared" si="11"/>
        <v>0.34703515825821513</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163">
        <f t="shared" si="28"/>
        <v>3.918033270120759E-2</v>
      </c>
      <c r="AW17" s="143">
        <f t="shared" si="74"/>
        <v>0</v>
      </c>
      <c r="AX17" s="154">
        <f t="shared" si="29"/>
        <v>0</v>
      </c>
      <c r="AY17" s="155">
        <v>13</v>
      </c>
      <c r="AZ17" s="156">
        <f t="shared" si="30"/>
        <v>0</v>
      </c>
      <c r="BA17" s="157">
        <f t="shared" si="31"/>
        <v>39.981563169624209</v>
      </c>
      <c r="BB17" s="158">
        <f t="shared" si="32"/>
        <v>1.4753196809591333E-2</v>
      </c>
      <c r="BC17" s="157">
        <f t="shared" si="75"/>
        <v>45.764223206037038</v>
      </c>
      <c r="BD17" s="159">
        <f t="shared" si="33"/>
        <v>1.6886998363027664E-2</v>
      </c>
      <c r="BE17" s="24">
        <f t="shared" si="34"/>
        <v>2.8368499660038533E-2</v>
      </c>
      <c r="BF17" s="27">
        <f t="shared" si="35"/>
        <v>6.0508066005275328E-2</v>
      </c>
      <c r="BG17" s="24">
        <f t="shared" si="36"/>
        <v>8.0579089006279261E-2</v>
      </c>
      <c r="BH17" s="61">
        <f t="shared" si="37"/>
        <v>0.11939674398200427</v>
      </c>
      <c r="BI17" s="24">
        <f t="shared" si="38"/>
        <v>8.0579089006279261E-2</v>
      </c>
      <c r="BJ17" s="27">
        <f t="shared" si="39"/>
        <v>0.11939674398200427</v>
      </c>
      <c r="BK17" s="24">
        <f t="shared" si="40"/>
        <v>0</v>
      </c>
      <c r="BL17" s="27">
        <f t="shared" si="41"/>
        <v>0</v>
      </c>
      <c r="BM17" s="24">
        <f t="shared" si="42"/>
        <v>0</v>
      </c>
      <c r="BN17" s="27">
        <f t="shared" si="43"/>
        <v>0</v>
      </c>
      <c r="BO17" s="24">
        <f t="shared" si="44"/>
        <v>0</v>
      </c>
      <c r="BP17" s="27">
        <f t="shared" si="45"/>
        <v>0</v>
      </c>
      <c r="BQ17" s="147">
        <f t="shared" si="46"/>
        <v>0</v>
      </c>
      <c r="BR17" s="27">
        <f t="shared" si="47"/>
        <v>0</v>
      </c>
      <c r="BS17" s="91">
        <f t="shared" si="76"/>
        <v>0.48882823164188094</v>
      </c>
      <c r="BT17" s="101">
        <f t="shared" si="77"/>
        <v>0.48882823164188094</v>
      </c>
      <c r="BU17" s="206">
        <f t="shared" si="78"/>
        <v>0.48882823164188094</v>
      </c>
      <c r="BV17" s="97">
        <f t="shared" si="79"/>
        <v>0.50358142845147225</v>
      </c>
      <c r="BW17" s="123">
        <f t="shared" si="80"/>
        <v>0.50571523000490859</v>
      </c>
      <c r="BX17" s="91">
        <f t="shared" si="81"/>
        <v>5.8975164769533347E-3</v>
      </c>
      <c r="BY17" s="92">
        <f t="shared" si="48"/>
        <v>5.0000000000000001E-3</v>
      </c>
      <c r="BZ17" s="233">
        <f t="shared" si="49"/>
        <v>5.0000000000000001E-3</v>
      </c>
      <c r="CA17" s="92">
        <f t="shared" si="50"/>
        <v>0</v>
      </c>
      <c r="CB17" s="92">
        <f t="shared" si="51"/>
        <v>0</v>
      </c>
      <c r="CC17" s="92">
        <f t="shared" si="52"/>
        <v>0</v>
      </c>
      <c r="CD17" s="92">
        <f t="shared" si="53"/>
        <v>0</v>
      </c>
      <c r="CE17" s="127">
        <f t="shared" si="82"/>
        <v>1.5897516476953335E-2</v>
      </c>
      <c r="CF17" s="91">
        <f t="shared" si="83"/>
        <v>2.443256826166381E-2</v>
      </c>
      <c r="CG17" s="92">
        <f t="shared" si="54"/>
        <v>0.1149221525600836</v>
      </c>
      <c r="CH17" s="92">
        <f t="shared" si="55"/>
        <v>6.8065714617438749E-3</v>
      </c>
      <c r="CI17" s="92">
        <f t="shared" si="56"/>
        <v>0.11484</v>
      </c>
      <c r="CJ17" s="93">
        <f t="shared" si="57"/>
        <v>0.09</v>
      </c>
      <c r="CK17" s="127">
        <f t="shared" si="84"/>
        <v>0.35100129228349131</v>
      </c>
      <c r="CL17" s="91">
        <f t="shared" si="58"/>
        <v>0.15</v>
      </c>
      <c r="CM17" s="92">
        <f t="shared" si="59"/>
        <v>0.15</v>
      </c>
      <c r="CN17" s="92">
        <f t="shared" si="60"/>
        <v>0</v>
      </c>
      <c r="CO17" s="92">
        <f t="shared" si="61"/>
        <v>0</v>
      </c>
      <c r="CP17" s="92">
        <f t="shared" si="62"/>
        <v>0</v>
      </c>
      <c r="CQ17" s="92">
        <f t="shared" si="63"/>
        <v>0</v>
      </c>
      <c r="CR17" s="127">
        <f t="shared" si="85"/>
        <v>0.3</v>
      </c>
      <c r="CS17" s="92">
        <f t="shared" si="86"/>
        <v>0.66689880876044472</v>
      </c>
      <c r="CT17" s="92">
        <f t="shared" si="64"/>
        <v>5.666898808760445</v>
      </c>
      <c r="CU17" s="93">
        <f t="shared" si="65"/>
        <v>0.8823167959644016</v>
      </c>
      <c r="CV17">
        <f t="shared" si="87"/>
        <v>19.14</v>
      </c>
    </row>
    <row r="18" spans="1:100" ht="15.75" thickBot="1" x14ac:dyDescent="0.3">
      <c r="A18" s="12" t="s">
        <v>312</v>
      </c>
      <c r="B18" s="12">
        <f>IF(AND(VoutPri_FBB&lt;0,Vout4&lt;&gt;0),((ABS(Vout4)+Vdiode4)/ABS(VoutPri_FBB))*Np,0)</f>
        <v>0</v>
      </c>
      <c r="C18" s="12"/>
      <c r="K18">
        <v>14</v>
      </c>
      <c r="L18" s="91">
        <f t="shared" si="0"/>
        <v>19.920000000000002</v>
      </c>
      <c r="M18" s="93">
        <f t="shared" si="1"/>
        <v>0.2788933511825078</v>
      </c>
      <c r="N18" s="122">
        <f t="shared" si="66"/>
        <v>1.2809903410753947E-4</v>
      </c>
      <c r="O18" s="97">
        <f t="shared" si="67"/>
        <v>1.1528913069678552E-4</v>
      </c>
      <c r="P18" s="123">
        <f t="shared" si="68"/>
        <v>1.0480830063344138E-4</v>
      </c>
      <c r="Q18" s="127">
        <f t="shared" si="69"/>
        <v>0.31120331950207469</v>
      </c>
      <c r="R18" s="91">
        <f t="shared" si="70"/>
        <v>0.89617730179979171</v>
      </c>
      <c r="S18" s="92">
        <f t="shared" si="2"/>
        <v>0.14250965803405352</v>
      </c>
      <c r="T18" s="92">
        <f t="shared" si="71"/>
        <v>0.96743213081681845</v>
      </c>
      <c r="U18" s="92">
        <f t="shared" si="3"/>
        <v>1.2130728344363431</v>
      </c>
      <c r="V18" s="118">
        <f t="shared" si="72"/>
        <v>0.50046436107436421</v>
      </c>
      <c r="W18" s="103">
        <f t="shared" si="73"/>
        <v>0.41555153154784785</v>
      </c>
      <c r="X18" s="117">
        <f t="shared" si="4"/>
        <v>0.72590361445783136</v>
      </c>
      <c r="Y18" s="103">
        <f t="shared" si="5"/>
        <v>0.22821343257151006</v>
      </c>
      <c r="Z18" s="103">
        <f t="shared" si="6"/>
        <v>0.60493079232765612</v>
      </c>
      <c r="AA18" s="118">
        <f t="shared" si="7"/>
        <v>0.52624714486916113</v>
      </c>
      <c r="AB18" s="117">
        <f t="shared" si="8"/>
        <v>0.72590361445783136</v>
      </c>
      <c r="AC18" s="103">
        <f t="shared" si="9"/>
        <v>0.22821343257151006</v>
      </c>
      <c r="AD18" s="103">
        <f t="shared" si="10"/>
        <v>0.60493079232765612</v>
      </c>
      <c r="AE18" s="118">
        <f t="shared" si="11"/>
        <v>0.34050148825837134</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163">
        <f t="shared" si="28"/>
        <v>3.9677228139281415E-2</v>
      </c>
      <c r="AW18" s="143">
        <f t="shared" si="74"/>
        <v>0</v>
      </c>
      <c r="AX18" s="154">
        <f t="shared" si="29"/>
        <v>0</v>
      </c>
      <c r="AY18" s="155">
        <v>14</v>
      </c>
      <c r="AZ18" s="156">
        <f t="shared" si="30"/>
        <v>0</v>
      </c>
      <c r="BA18" s="157">
        <f t="shared" si="31"/>
        <v>41.344571524407002</v>
      </c>
      <c r="BB18" s="158">
        <f t="shared" si="32"/>
        <v>1.5256146892506183E-2</v>
      </c>
      <c r="BC18" s="157">
        <f t="shared" si="75"/>
        <v>47.205236708532034</v>
      </c>
      <c r="BD18" s="159">
        <f t="shared" si="33"/>
        <v>1.7418732345448319E-2</v>
      </c>
      <c r="BE18" s="24">
        <f t="shared" si="34"/>
        <v>2.6190365926705449E-2</v>
      </c>
      <c r="BF18" s="27">
        <f t="shared" si="35"/>
        <v>5.8145354046662399E-2</v>
      </c>
      <c r="BG18" s="24">
        <f t="shared" si="36"/>
        <v>8.0579089006279261E-2</v>
      </c>
      <c r="BH18" s="61">
        <f t="shared" si="37"/>
        <v>0.11794885457253451</v>
      </c>
      <c r="BI18" s="24">
        <f t="shared" si="38"/>
        <v>8.0579089006279261E-2</v>
      </c>
      <c r="BJ18" s="27">
        <f t="shared" si="39"/>
        <v>0.11794885457253451</v>
      </c>
      <c r="BK18" s="24">
        <f t="shared" si="40"/>
        <v>0</v>
      </c>
      <c r="BL18" s="27">
        <f t="shared" si="41"/>
        <v>0</v>
      </c>
      <c r="BM18" s="24">
        <f t="shared" si="42"/>
        <v>0</v>
      </c>
      <c r="BN18" s="27">
        <f t="shared" si="43"/>
        <v>0</v>
      </c>
      <c r="BO18" s="24">
        <f t="shared" si="44"/>
        <v>0</v>
      </c>
      <c r="BP18" s="27">
        <f t="shared" si="45"/>
        <v>0</v>
      </c>
      <c r="BQ18" s="147">
        <f t="shared" si="46"/>
        <v>0</v>
      </c>
      <c r="BR18" s="27">
        <f t="shared" si="47"/>
        <v>0</v>
      </c>
      <c r="BS18" s="91">
        <f t="shared" si="76"/>
        <v>0.48139160713099538</v>
      </c>
      <c r="BT18" s="101">
        <f t="shared" si="77"/>
        <v>0.48139160713099538</v>
      </c>
      <c r="BU18" s="206">
        <f t="shared" si="78"/>
        <v>0.48139160713099538</v>
      </c>
      <c r="BV18" s="97">
        <f t="shared" si="79"/>
        <v>0.49664775402350159</v>
      </c>
      <c r="BW18" s="123">
        <f t="shared" si="80"/>
        <v>0.49881033947644371</v>
      </c>
      <c r="BX18" s="91">
        <f t="shared" si="81"/>
        <v>5.444705093366674E-3</v>
      </c>
      <c r="BY18" s="92">
        <f t="shared" si="48"/>
        <v>5.0000000000000001E-3</v>
      </c>
      <c r="BZ18" s="233">
        <f t="shared" si="49"/>
        <v>5.0000000000000001E-3</v>
      </c>
      <c r="CA18" s="92">
        <f t="shared" si="50"/>
        <v>0</v>
      </c>
      <c r="CB18" s="92">
        <f t="shared" si="51"/>
        <v>0</v>
      </c>
      <c r="CC18" s="92">
        <f t="shared" si="52"/>
        <v>0</v>
      </c>
      <c r="CD18" s="92">
        <f t="shared" si="53"/>
        <v>0</v>
      </c>
      <c r="CE18" s="127">
        <f t="shared" si="82"/>
        <v>1.5444705093366675E-2</v>
      </c>
      <c r="CF18" s="91">
        <f t="shared" si="83"/>
        <v>2.2556635386804788E-2</v>
      </c>
      <c r="CG18" s="92">
        <f t="shared" si="54"/>
        <v>0.11662851405622492</v>
      </c>
      <c r="CH18" s="92">
        <f t="shared" si="55"/>
        <v>6.7213297634984379E-3</v>
      </c>
      <c r="CI18" s="92">
        <f t="shared" si="56"/>
        <v>0.11952</v>
      </c>
      <c r="CJ18" s="93">
        <f t="shared" si="57"/>
        <v>0.09</v>
      </c>
      <c r="CK18" s="127">
        <f t="shared" si="84"/>
        <v>0.35542647920652815</v>
      </c>
      <c r="CL18" s="91">
        <f t="shared" si="58"/>
        <v>0.15</v>
      </c>
      <c r="CM18" s="92">
        <f t="shared" si="59"/>
        <v>0.15</v>
      </c>
      <c r="CN18" s="92">
        <f t="shared" si="60"/>
        <v>0</v>
      </c>
      <c r="CO18" s="92">
        <f t="shared" si="61"/>
        <v>0</v>
      </c>
      <c r="CP18" s="92">
        <f t="shared" si="62"/>
        <v>0</v>
      </c>
      <c r="CQ18" s="92">
        <f t="shared" si="63"/>
        <v>0</v>
      </c>
      <c r="CR18" s="127">
        <f t="shared" si="85"/>
        <v>0.3</v>
      </c>
      <c r="CS18" s="92">
        <f t="shared" si="86"/>
        <v>0.67087118429989478</v>
      </c>
      <c r="CT18" s="92">
        <f t="shared" si="64"/>
        <v>5.6708711842998945</v>
      </c>
      <c r="CU18" s="93">
        <f t="shared" si="65"/>
        <v>0.88169874389719227</v>
      </c>
      <c r="CV18">
        <f t="shared" si="87"/>
        <v>19.920000000000002</v>
      </c>
    </row>
    <row r="19" spans="1:100" ht="15.75" thickBot="1" x14ac:dyDescent="0.3">
      <c r="A19" s="12" t="s">
        <v>313</v>
      </c>
      <c r="B19" s="12">
        <f>IF(n4_FlyBB_Calc&lt;&gt;0,n4_FlyBB/Np,0)</f>
        <v>0</v>
      </c>
      <c r="C19" s="12"/>
      <c r="K19">
        <v>15</v>
      </c>
      <c r="L19" s="91">
        <f t="shared" si="0"/>
        <v>20.700000000000003</v>
      </c>
      <c r="M19" s="93">
        <f t="shared" si="1"/>
        <v>0.26838432635534082</v>
      </c>
      <c r="N19" s="122">
        <f t="shared" si="66"/>
        <v>1.3115702479338842E-4</v>
      </c>
      <c r="O19" s="97">
        <f t="shared" si="67"/>
        <v>1.1804132231404957E-4</v>
      </c>
      <c r="P19" s="123">
        <f t="shared" si="68"/>
        <v>1.0731029301277233E-4</v>
      </c>
      <c r="Q19" s="127">
        <f t="shared" si="69"/>
        <v>0.30303030303030298</v>
      </c>
      <c r="R19" s="91">
        <f t="shared" si="70"/>
        <v>0.88566827697262485</v>
      </c>
      <c r="S19" s="92">
        <f t="shared" si="2"/>
        <v>0.14420062695924765</v>
      </c>
      <c r="T19" s="92">
        <f t="shared" si="71"/>
        <v>0.95776859045224871</v>
      </c>
      <c r="U19" s="92">
        <f t="shared" si="3"/>
        <v>1.1966402929833699</v>
      </c>
      <c r="V19" s="118">
        <f t="shared" si="72"/>
        <v>0.4880825548765616</v>
      </c>
      <c r="W19" s="103">
        <f t="shared" si="73"/>
        <v>0.40766951534499324</v>
      </c>
      <c r="X19" s="117">
        <f t="shared" si="4"/>
        <v>0.71739130434782605</v>
      </c>
      <c r="Y19" s="103">
        <f t="shared" si="5"/>
        <v>0.23092133200874049</v>
      </c>
      <c r="Z19" s="103">
        <f t="shared" si="6"/>
        <v>0.60149213761189158</v>
      </c>
      <c r="AA19" s="118">
        <f t="shared" si="7"/>
        <v>0.51444172026953183</v>
      </c>
      <c r="AB19" s="117">
        <f t="shared" si="8"/>
        <v>0.71739130434782605</v>
      </c>
      <c r="AC19" s="103">
        <f t="shared" si="9"/>
        <v>0.23092133200874049</v>
      </c>
      <c r="AD19" s="103">
        <f t="shared" si="10"/>
        <v>0.60149213761189158</v>
      </c>
      <c r="AE19" s="118">
        <f t="shared" si="11"/>
        <v>0.33435429054959453</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163">
        <f t="shared" si="28"/>
        <v>4.0148024018991764E-2</v>
      </c>
      <c r="AW19" s="143">
        <f t="shared" si="74"/>
        <v>0</v>
      </c>
      <c r="AX19" s="154">
        <f t="shared" si="29"/>
        <v>0</v>
      </c>
      <c r="AY19" s="155">
        <v>15</v>
      </c>
      <c r="AZ19" s="156">
        <f t="shared" si="30"/>
        <v>0</v>
      </c>
      <c r="BA19" s="157">
        <f t="shared" si="31"/>
        <v>42.662399504128985</v>
      </c>
      <c r="BB19" s="158">
        <f t="shared" si="32"/>
        <v>1.5742425417023594E-2</v>
      </c>
      <c r="BC19" s="157">
        <f t="shared" si="75"/>
        <v>48.595090178050263</v>
      </c>
      <c r="BD19" s="159">
        <f t="shared" si="33"/>
        <v>1.7931588275700548E-2</v>
      </c>
      <c r="BE19" s="24">
        <f t="shared" si="34"/>
        <v>2.4253786128167872E-2</v>
      </c>
      <c r="BF19" s="27">
        <f t="shared" si="35"/>
        <v>5.5960517089976389E-2</v>
      </c>
      <c r="BG19" s="24">
        <f t="shared" si="36"/>
        <v>8.0579089006279261E-2</v>
      </c>
      <c r="BH19" s="61">
        <f t="shared" si="37"/>
        <v>0.11661173422754251</v>
      </c>
      <c r="BI19" s="24">
        <f t="shared" si="38"/>
        <v>8.0579089006279261E-2</v>
      </c>
      <c r="BJ19" s="27">
        <f t="shared" si="39"/>
        <v>0.11661173422754251</v>
      </c>
      <c r="BK19" s="24">
        <f t="shared" si="40"/>
        <v>0</v>
      </c>
      <c r="BL19" s="27">
        <f t="shared" si="41"/>
        <v>0</v>
      </c>
      <c r="BM19" s="24">
        <f t="shared" si="42"/>
        <v>0</v>
      </c>
      <c r="BN19" s="27">
        <f t="shared" si="43"/>
        <v>0</v>
      </c>
      <c r="BO19" s="24">
        <f t="shared" si="44"/>
        <v>0</v>
      </c>
      <c r="BP19" s="27">
        <f t="shared" si="45"/>
        <v>0</v>
      </c>
      <c r="BQ19" s="147">
        <f t="shared" si="46"/>
        <v>0</v>
      </c>
      <c r="BR19" s="27">
        <f t="shared" si="47"/>
        <v>0</v>
      </c>
      <c r="BS19" s="91">
        <f t="shared" si="76"/>
        <v>0.47459594968578778</v>
      </c>
      <c r="BT19" s="101">
        <f t="shared" si="77"/>
        <v>0.47459594968578778</v>
      </c>
      <c r="BU19" s="206">
        <f t="shared" si="78"/>
        <v>0.47459594968578778</v>
      </c>
      <c r="BV19" s="97">
        <f t="shared" si="79"/>
        <v>0.49033837510281136</v>
      </c>
      <c r="BW19" s="123">
        <f t="shared" si="80"/>
        <v>0.49252753796148835</v>
      </c>
      <c r="BX19" s="91">
        <f t="shared" si="81"/>
        <v>5.042110264324706E-3</v>
      </c>
      <c r="BY19" s="92">
        <f t="shared" si="48"/>
        <v>5.0000000000000001E-3</v>
      </c>
      <c r="BZ19" s="233">
        <f t="shared" si="49"/>
        <v>5.0000000000000001E-3</v>
      </c>
      <c r="CA19" s="92">
        <f t="shared" si="50"/>
        <v>0</v>
      </c>
      <c r="CB19" s="92">
        <f t="shared" si="51"/>
        <v>0</v>
      </c>
      <c r="CC19" s="92">
        <f t="shared" si="52"/>
        <v>0</v>
      </c>
      <c r="CD19" s="92">
        <f t="shared" si="53"/>
        <v>0</v>
      </c>
      <c r="CE19" s="127">
        <f t="shared" si="82"/>
        <v>1.5042110264324705E-2</v>
      </c>
      <c r="CF19" s="91">
        <f t="shared" si="83"/>
        <v>2.0888742523630922E-2</v>
      </c>
      <c r="CG19" s="92">
        <f t="shared" si="54"/>
        <v>0.11836956521739134</v>
      </c>
      <c r="CH19" s="92">
        <f t="shared" si="55"/>
        <v>6.6425120772946869E-3</v>
      </c>
      <c r="CI19" s="92">
        <f t="shared" si="56"/>
        <v>0.12420000000000002</v>
      </c>
      <c r="CJ19" s="93">
        <f t="shared" si="57"/>
        <v>0.09</v>
      </c>
      <c r="CK19" s="127">
        <f t="shared" si="84"/>
        <v>0.36010081981831699</v>
      </c>
      <c r="CL19" s="91">
        <f t="shared" si="58"/>
        <v>0.15</v>
      </c>
      <c r="CM19" s="92">
        <f t="shared" si="59"/>
        <v>0.15</v>
      </c>
      <c r="CN19" s="92">
        <f t="shared" si="60"/>
        <v>0</v>
      </c>
      <c r="CO19" s="92">
        <f t="shared" si="61"/>
        <v>0</v>
      </c>
      <c r="CP19" s="92">
        <f t="shared" si="62"/>
        <v>0</v>
      </c>
      <c r="CQ19" s="92">
        <f t="shared" si="63"/>
        <v>0</v>
      </c>
      <c r="CR19" s="127">
        <f t="shared" si="85"/>
        <v>0.3</v>
      </c>
      <c r="CS19" s="92">
        <f t="shared" si="86"/>
        <v>0.67514293008264159</v>
      </c>
      <c r="CT19" s="92">
        <f t="shared" si="64"/>
        <v>5.6751429300826413</v>
      </c>
      <c r="CU19" s="93">
        <f t="shared" si="65"/>
        <v>0.88103507904552281</v>
      </c>
      <c r="CV19">
        <f t="shared" si="87"/>
        <v>20.700000000000003</v>
      </c>
    </row>
    <row r="20" spans="1:100" ht="15.75" thickBot="1" x14ac:dyDescent="0.3">
      <c r="A20" s="12" t="s">
        <v>314</v>
      </c>
      <c r="B20" s="12">
        <f>IF(AND(VoutPri_FBB&lt;0,Vout5&lt;&gt;0),((ABS(Vout5)+Vdiode5)/ABS(VoutPri_FBB))*Np,0)</f>
        <v>0</v>
      </c>
      <c r="C20" s="12"/>
      <c r="K20">
        <v>16</v>
      </c>
      <c r="L20" s="91">
        <f t="shared" si="0"/>
        <v>21.48</v>
      </c>
      <c r="M20" s="93">
        <f t="shared" si="1"/>
        <v>0.25863852679495136</v>
      </c>
      <c r="N20" s="122">
        <f t="shared" si="66"/>
        <v>1.3409185318370633E-4</v>
      </c>
      <c r="O20" s="97">
        <f t="shared" si="67"/>
        <v>1.2068266786533572E-4</v>
      </c>
      <c r="P20" s="123">
        <f t="shared" si="68"/>
        <v>1.0971151624121427E-4</v>
      </c>
      <c r="Q20" s="127">
        <f t="shared" si="69"/>
        <v>0.29527559055118108</v>
      </c>
      <c r="R20" s="91">
        <f t="shared" si="70"/>
        <v>0.87592247741223539</v>
      </c>
      <c r="S20" s="92">
        <f t="shared" si="2"/>
        <v>0.1458050502307901</v>
      </c>
      <c r="T20" s="92">
        <f t="shared" si="71"/>
        <v>0.94882500252763047</v>
      </c>
      <c r="U20" s="92">
        <f t="shared" si="3"/>
        <v>1.181304034921576</v>
      </c>
      <c r="V20" s="118">
        <f t="shared" si="72"/>
        <v>0.47651905232834713</v>
      </c>
      <c r="W20" s="103">
        <f t="shared" si="73"/>
        <v>0.40022058878728772</v>
      </c>
      <c r="X20" s="117">
        <f t="shared" si="4"/>
        <v>0.70949720670391059</v>
      </c>
      <c r="Y20" s="103">
        <f t="shared" si="5"/>
        <v>0.23349063816768745</v>
      </c>
      <c r="Z20" s="103">
        <f t="shared" si="6"/>
        <v>0.59828945890766461</v>
      </c>
      <c r="AA20" s="118">
        <f t="shared" si="7"/>
        <v>0.50337489639497479</v>
      </c>
      <c r="AB20" s="117">
        <f t="shared" si="8"/>
        <v>0.70949720670391059</v>
      </c>
      <c r="AC20" s="103">
        <f t="shared" si="9"/>
        <v>0.23349063816768745</v>
      </c>
      <c r="AD20" s="103">
        <f t="shared" si="10"/>
        <v>0.59828945890766461</v>
      </c>
      <c r="AE20" s="118">
        <f t="shared" si="11"/>
        <v>0.32855787411052273</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163">
        <f t="shared" si="28"/>
        <v>4.0594724046590945E-2</v>
      </c>
      <c r="AW20" s="143">
        <f t="shared" si="74"/>
        <v>0</v>
      </c>
      <c r="AX20" s="154">
        <f t="shared" si="29"/>
        <v>0</v>
      </c>
      <c r="AY20" s="155">
        <v>16</v>
      </c>
      <c r="AZ20" s="156">
        <f t="shared" si="30"/>
        <v>0</v>
      </c>
      <c r="BA20" s="157">
        <f t="shared" si="31"/>
        <v>43.936725891934763</v>
      </c>
      <c r="BB20" s="158">
        <f t="shared" si="32"/>
        <v>1.6212651854123926E-2</v>
      </c>
      <c r="BC20" s="157">
        <f t="shared" si="75"/>
        <v>49.935996537244762</v>
      </c>
      <c r="BD20" s="159">
        <f t="shared" si="33"/>
        <v>1.8426382722243319E-2</v>
      </c>
      <c r="BE20" s="24">
        <f t="shared" si="34"/>
        <v>2.2524319574179812E-2</v>
      </c>
      <c r="BF20" s="27">
        <f t="shared" si="35"/>
        <v>5.393418218457461E-2</v>
      </c>
      <c r="BG20" s="24">
        <f t="shared" si="36"/>
        <v>8.0579089006279261E-2</v>
      </c>
      <c r="BH20" s="61">
        <f t="shared" si="37"/>
        <v>0.11537322880479579</v>
      </c>
      <c r="BI20" s="24">
        <f t="shared" si="38"/>
        <v>8.0579089006279261E-2</v>
      </c>
      <c r="BJ20" s="27">
        <f t="shared" si="39"/>
        <v>0.11537322880479579</v>
      </c>
      <c r="BK20" s="24">
        <f t="shared" si="40"/>
        <v>0</v>
      </c>
      <c r="BL20" s="27">
        <f t="shared" si="41"/>
        <v>0</v>
      </c>
      <c r="BM20" s="24">
        <f t="shared" si="42"/>
        <v>0</v>
      </c>
      <c r="BN20" s="27">
        <f t="shared" si="43"/>
        <v>0</v>
      </c>
      <c r="BO20" s="24">
        <f t="shared" si="44"/>
        <v>0</v>
      </c>
      <c r="BP20" s="27">
        <f t="shared" si="45"/>
        <v>0</v>
      </c>
      <c r="BQ20" s="147">
        <f t="shared" si="46"/>
        <v>0</v>
      </c>
      <c r="BR20" s="27">
        <f t="shared" si="47"/>
        <v>0</v>
      </c>
      <c r="BS20" s="91">
        <f t="shared" si="76"/>
        <v>0.46836313738090452</v>
      </c>
      <c r="BT20" s="101">
        <f t="shared" si="77"/>
        <v>0.46836313738090452</v>
      </c>
      <c r="BU20" s="206">
        <f t="shared" si="78"/>
        <v>0.46836313738090452</v>
      </c>
      <c r="BV20" s="97">
        <f t="shared" si="79"/>
        <v>0.48457578923502842</v>
      </c>
      <c r="BW20" s="123">
        <f t="shared" si="80"/>
        <v>0.48678952010314785</v>
      </c>
      <c r="BX20" s="91">
        <f t="shared" si="81"/>
        <v>4.6825721279863943E-3</v>
      </c>
      <c r="BY20" s="92">
        <f t="shared" si="48"/>
        <v>5.0000000000000001E-3</v>
      </c>
      <c r="BZ20" s="233">
        <f t="shared" si="49"/>
        <v>5.0000000000000001E-3</v>
      </c>
      <c r="CA20" s="92">
        <f t="shared" si="50"/>
        <v>0</v>
      </c>
      <c r="CB20" s="92">
        <f t="shared" si="51"/>
        <v>0</v>
      </c>
      <c r="CC20" s="92">
        <f t="shared" si="52"/>
        <v>0</v>
      </c>
      <c r="CD20" s="92">
        <f t="shared" si="53"/>
        <v>0</v>
      </c>
      <c r="CE20" s="127">
        <f t="shared" si="82"/>
        <v>1.4682572127986394E-2</v>
      </c>
      <c r="CF20" s="91">
        <f t="shared" si="83"/>
        <v>1.9399227387372202E-2</v>
      </c>
      <c r="CG20" s="92">
        <f t="shared" si="54"/>
        <v>0.12014152700186223</v>
      </c>
      <c r="CH20" s="92">
        <f t="shared" si="55"/>
        <v>6.5694185805917652E-3</v>
      </c>
      <c r="CI20" s="92">
        <f t="shared" si="56"/>
        <v>0.12888000000000002</v>
      </c>
      <c r="CJ20" s="93">
        <f t="shared" si="57"/>
        <v>0.09</v>
      </c>
      <c r="CK20" s="127">
        <f t="shared" si="84"/>
        <v>0.36499017296982617</v>
      </c>
      <c r="CL20" s="91">
        <f t="shared" si="58"/>
        <v>0.15</v>
      </c>
      <c r="CM20" s="92">
        <f t="shared" si="59"/>
        <v>0.15</v>
      </c>
      <c r="CN20" s="92">
        <f t="shared" si="60"/>
        <v>0</v>
      </c>
      <c r="CO20" s="92">
        <f t="shared" si="61"/>
        <v>0</v>
      </c>
      <c r="CP20" s="92">
        <f t="shared" si="62"/>
        <v>0</v>
      </c>
      <c r="CQ20" s="92">
        <f t="shared" si="63"/>
        <v>0</v>
      </c>
      <c r="CR20" s="127">
        <f t="shared" si="85"/>
        <v>0.3</v>
      </c>
      <c r="CS20" s="92">
        <f t="shared" si="86"/>
        <v>0.67967274509781261</v>
      </c>
      <c r="CT20" s="92">
        <f t="shared" si="64"/>
        <v>5.6796727450978128</v>
      </c>
      <c r="CU20" s="93">
        <f t="shared" si="65"/>
        <v>0.88033241075650959</v>
      </c>
      <c r="CV20">
        <f t="shared" si="87"/>
        <v>21.48</v>
      </c>
    </row>
    <row r="21" spans="1:100" ht="15.75" thickBot="1" x14ac:dyDescent="0.3">
      <c r="A21" s="12" t="s">
        <v>315</v>
      </c>
      <c r="B21" s="12">
        <f>IF(n5_FlyBB_Calc&lt;&gt;0,n5_FlyBB/Np,0)</f>
        <v>0</v>
      </c>
      <c r="C21" s="12"/>
      <c r="K21">
        <v>17</v>
      </c>
      <c r="L21" s="91">
        <f t="shared" si="0"/>
        <v>22.259999999999998</v>
      </c>
      <c r="M21" s="93">
        <f t="shared" si="1"/>
        <v>0.24957572127383448</v>
      </c>
      <c r="N21" s="122">
        <f t="shared" si="66"/>
        <v>1.3691030463341939E-4</v>
      </c>
      <c r="O21" s="97">
        <f t="shared" si="67"/>
        <v>1.2321927417007744E-4</v>
      </c>
      <c r="P21" s="123">
        <f t="shared" si="68"/>
        <v>1.1201752197279768E-4</v>
      </c>
      <c r="Q21" s="127">
        <f t="shared" si="69"/>
        <v>0.28790786948176583</v>
      </c>
      <c r="R21" s="91">
        <f t="shared" si="70"/>
        <v>0.86685967189111846</v>
      </c>
      <c r="S21" s="92">
        <f t="shared" si="2"/>
        <v>0.14732940631411739</v>
      </c>
      <c r="T21" s="92">
        <f t="shared" si="71"/>
        <v>0.9405243750481771</v>
      </c>
      <c r="U21" s="92">
        <f t="shared" si="3"/>
        <v>1.1669534119095564</v>
      </c>
      <c r="V21" s="118">
        <f t="shared" si="72"/>
        <v>0.46569078163754041</v>
      </c>
      <c r="W21" s="103">
        <f t="shared" si="73"/>
        <v>0.39316645769041464</v>
      </c>
      <c r="X21" s="117">
        <f t="shared" si="4"/>
        <v>0.7021563342318059</v>
      </c>
      <c r="Y21" s="103">
        <f t="shared" si="5"/>
        <v>0.23593172559317444</v>
      </c>
      <c r="Z21" s="103">
        <f t="shared" si="6"/>
        <v>0.59529934658065875</v>
      </c>
      <c r="AA21" s="118">
        <f t="shared" si="7"/>
        <v>0.49297415520678928</v>
      </c>
      <c r="AB21" s="117">
        <f t="shared" si="8"/>
        <v>0.7021563342318059</v>
      </c>
      <c r="AC21" s="103">
        <f t="shared" si="9"/>
        <v>0.23593172559317444</v>
      </c>
      <c r="AD21" s="103">
        <f t="shared" si="10"/>
        <v>0.59529934658065875</v>
      </c>
      <c r="AE21" s="118">
        <f t="shared" si="11"/>
        <v>0.32308096824071708</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163">
        <f t="shared" si="28"/>
        <v>4.1019131942294597E-2</v>
      </c>
      <c r="AW21" s="143">
        <f t="shared" si="74"/>
        <v>0</v>
      </c>
      <c r="AX21" s="154">
        <f t="shared" si="29"/>
        <v>0</v>
      </c>
      <c r="AY21" s="155">
        <v>17</v>
      </c>
      <c r="AZ21" s="156">
        <f t="shared" si="30"/>
        <v>0</v>
      </c>
      <c r="BA21" s="157">
        <f t="shared" si="31"/>
        <v>45.169217823296776</v>
      </c>
      <c r="BB21" s="158">
        <f t="shared" si="32"/>
        <v>1.6667441376796512E-2</v>
      </c>
      <c r="BC21" s="157">
        <f t="shared" si="75"/>
        <v>51.230102666651781</v>
      </c>
      <c r="BD21" s="159">
        <f t="shared" si="33"/>
        <v>1.8903907883994507E-2</v>
      </c>
      <c r="BE21" s="24">
        <f t="shared" si="34"/>
        <v>2.0973451906809611E-2</v>
      </c>
      <c r="BF21" s="27">
        <f t="shared" si="35"/>
        <v>5.204969201295119E-2</v>
      </c>
      <c r="BG21" s="24">
        <f t="shared" si="36"/>
        <v>8.0579089006279261E-2</v>
      </c>
      <c r="BH21" s="61">
        <f t="shared" si="37"/>
        <v>0.11422289313992622</v>
      </c>
      <c r="BI21" s="24">
        <f t="shared" si="38"/>
        <v>8.0579089006279261E-2</v>
      </c>
      <c r="BJ21" s="27">
        <f t="shared" si="39"/>
        <v>0.11422289313992622</v>
      </c>
      <c r="BK21" s="24">
        <f t="shared" si="40"/>
        <v>0</v>
      </c>
      <c r="BL21" s="27">
        <f t="shared" si="41"/>
        <v>0</v>
      </c>
      <c r="BM21" s="24">
        <f t="shared" si="42"/>
        <v>0</v>
      </c>
      <c r="BN21" s="27">
        <f t="shared" si="43"/>
        <v>0</v>
      </c>
      <c r="BO21" s="24">
        <f t="shared" si="44"/>
        <v>0</v>
      </c>
      <c r="BP21" s="27">
        <f t="shared" si="45"/>
        <v>0</v>
      </c>
      <c r="BQ21" s="147">
        <f t="shared" si="46"/>
        <v>0</v>
      </c>
      <c r="BR21" s="27">
        <f t="shared" si="47"/>
        <v>0</v>
      </c>
      <c r="BS21" s="91">
        <f t="shared" si="76"/>
        <v>0.46262710821217179</v>
      </c>
      <c r="BT21" s="101">
        <f t="shared" si="77"/>
        <v>0.46262710821217179</v>
      </c>
      <c r="BU21" s="206">
        <f t="shared" si="78"/>
        <v>0.46262710821217179</v>
      </c>
      <c r="BV21" s="97">
        <f t="shared" si="79"/>
        <v>0.47929454958896828</v>
      </c>
      <c r="BW21" s="123">
        <f t="shared" si="80"/>
        <v>0.48153101609616628</v>
      </c>
      <c r="BX21" s="91">
        <f t="shared" si="81"/>
        <v>4.360162845454831E-3</v>
      </c>
      <c r="BY21" s="92">
        <f t="shared" si="48"/>
        <v>5.0000000000000001E-3</v>
      </c>
      <c r="BZ21" s="233">
        <f t="shared" si="49"/>
        <v>5.0000000000000001E-3</v>
      </c>
      <c r="CA21" s="92">
        <f t="shared" si="50"/>
        <v>0</v>
      </c>
      <c r="CB21" s="92">
        <f t="shared" si="51"/>
        <v>0</v>
      </c>
      <c r="CC21" s="92">
        <f t="shared" si="52"/>
        <v>0</v>
      </c>
      <c r="CD21" s="92">
        <f t="shared" si="53"/>
        <v>0</v>
      </c>
      <c r="CE21" s="127">
        <f t="shared" si="82"/>
        <v>1.436016284545483E-2</v>
      </c>
      <c r="CF21" s="91">
        <f t="shared" si="83"/>
        <v>1.8063531788312867E-2</v>
      </c>
      <c r="CG21" s="92">
        <f t="shared" si="54"/>
        <v>0.12194115004492365</v>
      </c>
      <c r="CH21" s="92">
        <f t="shared" si="55"/>
        <v>6.5014475391833894E-3</v>
      </c>
      <c r="CI21" s="92">
        <f t="shared" si="56"/>
        <v>0.13355999999999998</v>
      </c>
      <c r="CJ21" s="93">
        <f t="shared" si="57"/>
        <v>0.09</v>
      </c>
      <c r="CK21" s="127">
        <f t="shared" si="84"/>
        <v>0.37006612937241989</v>
      </c>
      <c r="CL21" s="91">
        <f t="shared" si="58"/>
        <v>0.15</v>
      </c>
      <c r="CM21" s="92">
        <f t="shared" si="59"/>
        <v>0.15</v>
      </c>
      <c r="CN21" s="92">
        <f t="shared" si="60"/>
        <v>0</v>
      </c>
      <c r="CO21" s="92">
        <f t="shared" si="61"/>
        <v>0</v>
      </c>
      <c r="CP21" s="92">
        <f t="shared" si="62"/>
        <v>0</v>
      </c>
      <c r="CQ21" s="92">
        <f t="shared" si="63"/>
        <v>0</v>
      </c>
      <c r="CR21" s="127">
        <f t="shared" si="85"/>
        <v>0.3</v>
      </c>
      <c r="CS21" s="92">
        <f t="shared" si="86"/>
        <v>0.68442629221787477</v>
      </c>
      <c r="CT21" s="92">
        <f t="shared" si="64"/>
        <v>5.684426292217875</v>
      </c>
      <c r="CU21" s="93">
        <f t="shared" si="65"/>
        <v>0.879596241197661</v>
      </c>
      <c r="CV21">
        <f t="shared" si="87"/>
        <v>22.259999999999998</v>
      </c>
    </row>
    <row r="22" spans="1:100" ht="15.75" thickBot="1" x14ac:dyDescent="0.3">
      <c r="A22" s="12" t="s">
        <v>316</v>
      </c>
      <c r="B22" s="12">
        <f>IF(AND(VoutPri_FBB&lt;0,Vout6&lt;&gt;0),((ABS(Vout6)+Vdiode6)/ABS(VoutPri_FBB))*Np,0)</f>
        <v>0</v>
      </c>
      <c r="C22" s="12"/>
      <c r="K22">
        <v>18</v>
      </c>
      <c r="L22" s="91">
        <f t="shared" si="0"/>
        <v>23.04</v>
      </c>
      <c r="M22" s="93">
        <f t="shared" si="1"/>
        <v>0.24112654320987653</v>
      </c>
      <c r="N22" s="122">
        <f t="shared" si="66"/>
        <v>1.3961873500820601E-4</v>
      </c>
      <c r="O22" s="97">
        <f t="shared" si="67"/>
        <v>1.2565686150738543E-4</v>
      </c>
      <c r="P22" s="123">
        <f t="shared" si="68"/>
        <v>1.1423351046125949E-4</v>
      </c>
      <c r="Q22" s="127">
        <f t="shared" si="69"/>
        <v>0.2808988764044944</v>
      </c>
      <c r="R22" s="91">
        <f t="shared" si="70"/>
        <v>0.85841049382716039</v>
      </c>
      <c r="S22" s="92">
        <f t="shared" si="2"/>
        <v>0.14877954281286324</v>
      </c>
      <c r="T22" s="92">
        <f t="shared" si="71"/>
        <v>0.93280026523359205</v>
      </c>
      <c r="U22" s="92">
        <f t="shared" si="3"/>
        <v>1.1534923804898027</v>
      </c>
      <c r="V22" s="118">
        <f t="shared" si="72"/>
        <v>0.45552574533774937</v>
      </c>
      <c r="W22" s="103">
        <f t="shared" si="73"/>
        <v>0.38647340765590543</v>
      </c>
      <c r="X22" s="117">
        <f t="shared" si="4"/>
        <v>0.6953125</v>
      </c>
      <c r="Y22" s="103">
        <f t="shared" si="5"/>
        <v>0.2382539585747239</v>
      </c>
      <c r="Z22" s="103">
        <f t="shared" si="6"/>
        <v>0.59250138807474828</v>
      </c>
      <c r="AA22" s="118">
        <f t="shared" si="7"/>
        <v>0.48317644050206959</v>
      </c>
      <c r="AB22" s="117">
        <f t="shared" si="8"/>
        <v>0.6953125</v>
      </c>
      <c r="AC22" s="103">
        <f t="shared" si="9"/>
        <v>0.2382539585747239</v>
      </c>
      <c r="AD22" s="103">
        <f t="shared" si="10"/>
        <v>0.59250138807474828</v>
      </c>
      <c r="AE22" s="118">
        <f t="shared" si="11"/>
        <v>0.31789604412528238</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163">
        <f t="shared" si="28"/>
        <v>4.142287578315125E-2</v>
      </c>
      <c r="AW22" s="143">
        <f t="shared" si="74"/>
        <v>0</v>
      </c>
      <c r="AX22" s="154">
        <f t="shared" si="29"/>
        <v>0</v>
      </c>
      <c r="AY22" s="155">
        <v>18</v>
      </c>
      <c r="AZ22" s="156">
        <f t="shared" si="30"/>
        <v>0</v>
      </c>
      <c r="BA22" s="157">
        <f t="shared" si="31"/>
        <v>46.361515882506097</v>
      </c>
      <c r="BB22" s="158">
        <f t="shared" si="32"/>
        <v>1.7107399360644749E-2</v>
      </c>
      <c r="BC22" s="157">
        <f t="shared" si="75"/>
        <v>52.479480532953815</v>
      </c>
      <c r="BD22" s="159">
        <f t="shared" si="33"/>
        <v>1.9364928316659955E-2</v>
      </c>
      <c r="BE22" s="24">
        <f t="shared" si="34"/>
        <v>1.9577412203675548E-2</v>
      </c>
      <c r="BF22" s="27">
        <f t="shared" si="35"/>
        <v>5.0292645112568347E-2</v>
      </c>
      <c r="BG22" s="24">
        <f t="shared" si="36"/>
        <v>8.0579089006279261E-2</v>
      </c>
      <c r="BH22" s="61">
        <f t="shared" si="37"/>
        <v>0.11315170142850932</v>
      </c>
      <c r="BI22" s="24">
        <f t="shared" si="38"/>
        <v>8.0579089006279261E-2</v>
      </c>
      <c r="BJ22" s="27">
        <f t="shared" si="39"/>
        <v>0.11315170142850932</v>
      </c>
      <c r="BK22" s="24">
        <f t="shared" si="40"/>
        <v>0</v>
      </c>
      <c r="BL22" s="27">
        <f t="shared" si="41"/>
        <v>0</v>
      </c>
      <c r="BM22" s="24">
        <f t="shared" si="42"/>
        <v>0</v>
      </c>
      <c r="BN22" s="27">
        <f t="shared" si="43"/>
        <v>0</v>
      </c>
      <c r="BO22" s="24">
        <f t="shared" si="44"/>
        <v>0</v>
      </c>
      <c r="BP22" s="27">
        <f t="shared" si="45"/>
        <v>0</v>
      </c>
      <c r="BQ22" s="147">
        <f t="shared" si="46"/>
        <v>0</v>
      </c>
      <c r="BR22" s="27">
        <f t="shared" si="47"/>
        <v>0</v>
      </c>
      <c r="BS22" s="91">
        <f t="shared" si="76"/>
        <v>0.45733163818582107</v>
      </c>
      <c r="BT22" s="101">
        <f t="shared" si="77"/>
        <v>0.45733163818582107</v>
      </c>
      <c r="BU22" s="206">
        <f t="shared" si="78"/>
        <v>0.45733163818582107</v>
      </c>
      <c r="BV22" s="97">
        <f t="shared" si="79"/>
        <v>0.47443903754646582</v>
      </c>
      <c r="BW22" s="123">
        <f t="shared" si="80"/>
        <v>0.47669656650248105</v>
      </c>
      <c r="BX22" s="91">
        <f t="shared" si="81"/>
        <v>4.0699406888241125E-3</v>
      </c>
      <c r="BY22" s="92">
        <f t="shared" si="48"/>
        <v>5.0000000000000001E-3</v>
      </c>
      <c r="BZ22" s="233">
        <f t="shared" si="49"/>
        <v>5.0000000000000001E-3</v>
      </c>
      <c r="CA22" s="92">
        <f t="shared" si="50"/>
        <v>0</v>
      </c>
      <c r="CB22" s="92">
        <f t="shared" si="51"/>
        <v>0</v>
      </c>
      <c r="CC22" s="92">
        <f t="shared" si="52"/>
        <v>0</v>
      </c>
      <c r="CD22" s="92">
        <f t="shared" si="53"/>
        <v>0</v>
      </c>
      <c r="CE22" s="127">
        <f t="shared" si="82"/>
        <v>1.4069940688824112E-2</v>
      </c>
      <c r="CF22" s="91">
        <f t="shared" si="83"/>
        <v>1.6861182853699891E-2</v>
      </c>
      <c r="CG22" s="92">
        <f t="shared" si="54"/>
        <v>0.12376562499999999</v>
      </c>
      <c r="CH22" s="92">
        <f t="shared" si="55"/>
        <v>6.4380787037037037E-3</v>
      </c>
      <c r="CI22" s="92">
        <f t="shared" si="56"/>
        <v>0.13824</v>
      </c>
      <c r="CJ22" s="93">
        <f t="shared" si="57"/>
        <v>0.09</v>
      </c>
      <c r="CK22" s="127">
        <f t="shared" si="84"/>
        <v>0.37530488655740357</v>
      </c>
      <c r="CL22" s="91">
        <f t="shared" si="58"/>
        <v>0.15</v>
      </c>
      <c r="CM22" s="92">
        <f t="shared" si="59"/>
        <v>0.15</v>
      </c>
      <c r="CN22" s="92">
        <f t="shared" si="60"/>
        <v>0</v>
      </c>
      <c r="CO22" s="92">
        <f t="shared" si="61"/>
        <v>0</v>
      </c>
      <c r="CP22" s="92">
        <f t="shared" si="62"/>
        <v>0</v>
      </c>
      <c r="CQ22" s="92">
        <f t="shared" si="63"/>
        <v>0</v>
      </c>
      <c r="CR22" s="127">
        <f t="shared" si="85"/>
        <v>0.3</v>
      </c>
      <c r="CS22" s="92">
        <f t="shared" si="86"/>
        <v>0.68937482724622767</v>
      </c>
      <c r="CT22" s="92">
        <f t="shared" si="64"/>
        <v>5.6893748272462279</v>
      </c>
      <c r="CU22" s="93">
        <f t="shared" si="65"/>
        <v>0.87883118124950488</v>
      </c>
      <c r="CV22">
        <f t="shared" si="87"/>
        <v>23.04</v>
      </c>
    </row>
    <row r="23" spans="1:100" ht="15.75" thickBot="1" x14ac:dyDescent="0.3">
      <c r="A23" s="12" t="s">
        <v>317</v>
      </c>
      <c r="B23" s="12">
        <f>IF(n6_FlyBB_Calc&lt;&gt;0,n6_FlyBB/Np,0)</f>
        <v>0</v>
      </c>
      <c r="C23" s="12"/>
      <c r="K23">
        <v>19</v>
      </c>
      <c r="L23" s="91">
        <f t="shared" si="0"/>
        <v>23.82</v>
      </c>
      <c r="M23" s="93">
        <f t="shared" si="1"/>
        <v>0.23323071182013244</v>
      </c>
      <c r="N23" s="122">
        <f t="shared" si="66"/>
        <v>1.4222309489353595E-4</v>
      </c>
      <c r="O23" s="97">
        <f t="shared" si="67"/>
        <v>1.2800078540418236E-4</v>
      </c>
      <c r="P23" s="123">
        <f t="shared" si="68"/>
        <v>1.163643503674385E-4</v>
      </c>
      <c r="Q23" s="127">
        <f t="shared" si="69"/>
        <v>0.27422303473491771</v>
      </c>
      <c r="R23" s="91">
        <f t="shared" si="70"/>
        <v>0.85051466243741636</v>
      </c>
      <c r="S23" s="92">
        <f t="shared" si="2"/>
        <v>0.15016075143415494</v>
      </c>
      <c r="T23" s="92">
        <f t="shared" si="71"/>
        <v>0.92559503815449384</v>
      </c>
      <c r="U23" s="92">
        <f t="shared" si="3"/>
        <v>1.1408371548447955</v>
      </c>
      <c r="V23" s="118">
        <f t="shared" si="72"/>
        <v>0.44596122136127037</v>
      </c>
      <c r="W23" s="103">
        <f t="shared" si="73"/>
        <v>0.38011162310814745</v>
      </c>
      <c r="X23" s="117">
        <f t="shared" si="4"/>
        <v>0.68891687657430734</v>
      </c>
      <c r="Y23" s="103">
        <f t="shared" si="5"/>
        <v>0.24046581119517596</v>
      </c>
      <c r="Z23" s="103">
        <f t="shared" si="6"/>
        <v>0.58987770244781434</v>
      </c>
      <c r="AA23" s="118">
        <f t="shared" si="7"/>
        <v>0.47392664287724889</v>
      </c>
      <c r="AB23" s="117">
        <f t="shared" si="8"/>
        <v>0.68891687657430734</v>
      </c>
      <c r="AC23" s="103">
        <f t="shared" si="9"/>
        <v>0.24046581119517596</v>
      </c>
      <c r="AD23" s="103">
        <f t="shared" si="10"/>
        <v>0.58987770244781434</v>
      </c>
      <c r="AE23" s="118">
        <f t="shared" si="11"/>
        <v>0.31297875941525521</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163">
        <f t="shared" si="28"/>
        <v>4.1807428874716716E-2</v>
      </c>
      <c r="AW23" s="143">
        <f t="shared" si="74"/>
        <v>0</v>
      </c>
      <c r="AX23" s="154">
        <f t="shared" si="29"/>
        <v>0</v>
      </c>
      <c r="AY23" s="155">
        <v>19</v>
      </c>
      <c r="AZ23" s="156">
        <f t="shared" si="30"/>
        <v>0</v>
      </c>
      <c r="BA23" s="157">
        <f t="shared" si="31"/>
        <v>47.515223286790608</v>
      </c>
      <c r="BB23" s="158">
        <f t="shared" si="32"/>
        <v>1.7533117392825735E-2</v>
      </c>
      <c r="BC23" s="157">
        <f t="shared" si="75"/>
        <v>53.686121723729023</v>
      </c>
      <c r="BD23" s="159">
        <f t="shared" si="33"/>
        <v>1.981017891605601E-2</v>
      </c>
      <c r="BE23" s="24">
        <f t="shared" si="34"/>
        <v>1.8316256647178654E-2</v>
      </c>
      <c r="BF23" s="27">
        <f t="shared" si="35"/>
        <v>4.8650526452780972E-2</v>
      </c>
      <c r="BG23" s="24">
        <f t="shared" si="36"/>
        <v>8.0579089006279261E-2</v>
      </c>
      <c r="BH23" s="61">
        <f t="shared" si="37"/>
        <v>0.11215181452151138</v>
      </c>
      <c r="BI23" s="24">
        <f t="shared" si="38"/>
        <v>8.0579089006279261E-2</v>
      </c>
      <c r="BJ23" s="27">
        <f t="shared" si="39"/>
        <v>0.11215181452151138</v>
      </c>
      <c r="BK23" s="24">
        <f t="shared" si="40"/>
        <v>0</v>
      </c>
      <c r="BL23" s="27">
        <f t="shared" si="41"/>
        <v>0</v>
      </c>
      <c r="BM23" s="24">
        <f t="shared" si="42"/>
        <v>0</v>
      </c>
      <c r="BN23" s="27">
        <f t="shared" si="43"/>
        <v>0</v>
      </c>
      <c r="BO23" s="24">
        <f t="shared" si="44"/>
        <v>0</v>
      </c>
      <c r="BP23" s="27">
        <f t="shared" si="45"/>
        <v>0</v>
      </c>
      <c r="BQ23" s="147">
        <f t="shared" si="46"/>
        <v>0</v>
      </c>
      <c r="BR23" s="27">
        <f t="shared" si="47"/>
        <v>0</v>
      </c>
      <c r="BS23" s="91">
        <f t="shared" si="76"/>
        <v>0.45242859015554093</v>
      </c>
      <c r="BT23" s="101">
        <f t="shared" si="77"/>
        <v>0.45242859015554093</v>
      </c>
      <c r="BU23" s="206">
        <f t="shared" si="78"/>
        <v>0.45242859015554093</v>
      </c>
      <c r="BV23" s="97">
        <f t="shared" si="79"/>
        <v>0.46996170754836669</v>
      </c>
      <c r="BW23" s="123">
        <f t="shared" si="80"/>
        <v>0.47223876907159695</v>
      </c>
      <c r="BX23" s="91">
        <f t="shared" si="81"/>
        <v>3.807759545528797E-3</v>
      </c>
      <c r="BY23" s="92">
        <f t="shared" si="48"/>
        <v>5.0000000000000001E-3</v>
      </c>
      <c r="BZ23" s="233">
        <f t="shared" si="49"/>
        <v>5.0000000000000001E-3</v>
      </c>
      <c r="CA23" s="92">
        <f t="shared" si="50"/>
        <v>0</v>
      </c>
      <c r="CB23" s="92">
        <f t="shared" si="51"/>
        <v>0</v>
      </c>
      <c r="CC23" s="92">
        <f t="shared" si="52"/>
        <v>0</v>
      </c>
      <c r="CD23" s="92">
        <f t="shared" si="53"/>
        <v>0</v>
      </c>
      <c r="CE23" s="127">
        <f t="shared" si="82"/>
        <v>1.3807759545528799E-2</v>
      </c>
      <c r="CF23" s="91">
        <f t="shared" si="83"/>
        <v>1.5775003831476443E-2</v>
      </c>
      <c r="CG23" s="92">
        <f t="shared" si="54"/>
        <v>0.12561251049538205</v>
      </c>
      <c r="CH23" s="92">
        <f t="shared" si="55"/>
        <v>6.378859968280623E-3</v>
      </c>
      <c r="CI23" s="92">
        <f t="shared" si="56"/>
        <v>0.14291999999999999</v>
      </c>
      <c r="CJ23" s="93">
        <f t="shared" si="57"/>
        <v>0.09</v>
      </c>
      <c r="CK23" s="127">
        <f t="shared" si="84"/>
        <v>0.38068637429513907</v>
      </c>
      <c r="CL23" s="91">
        <f t="shared" si="58"/>
        <v>0.15</v>
      </c>
      <c r="CM23" s="92">
        <f t="shared" si="59"/>
        <v>0.15</v>
      </c>
      <c r="CN23" s="92">
        <f t="shared" si="60"/>
        <v>0</v>
      </c>
      <c r="CO23" s="92">
        <f t="shared" si="61"/>
        <v>0</v>
      </c>
      <c r="CP23" s="92">
        <f t="shared" si="62"/>
        <v>0</v>
      </c>
      <c r="CQ23" s="92">
        <f t="shared" si="63"/>
        <v>0</v>
      </c>
      <c r="CR23" s="127">
        <f t="shared" si="85"/>
        <v>0.3</v>
      </c>
      <c r="CS23" s="92">
        <f t="shared" si="86"/>
        <v>0.69449413384066783</v>
      </c>
      <c r="CT23" s="92">
        <f t="shared" si="64"/>
        <v>5.694494133840668</v>
      </c>
      <c r="CU23" s="93">
        <f t="shared" si="65"/>
        <v>0.87804111875126922</v>
      </c>
      <c r="CV23">
        <f t="shared" si="87"/>
        <v>23.82</v>
      </c>
    </row>
    <row r="24" spans="1:100" ht="14.45" customHeight="1" thickBot="1" x14ac:dyDescent="0.3">
      <c r="A24" s="310" t="s">
        <v>25</v>
      </c>
      <c r="B24" s="310"/>
      <c r="C24" s="310"/>
      <c r="K24">
        <v>20</v>
      </c>
      <c r="L24" s="91">
        <f t="shared" si="0"/>
        <v>24.6</v>
      </c>
      <c r="M24" s="93">
        <f t="shared" si="1"/>
        <v>0.22583559168925021</v>
      </c>
      <c r="N24" s="122">
        <f t="shared" si="66"/>
        <v>1.4472895408163263E-4</v>
      </c>
      <c r="O24" s="97">
        <f t="shared" si="67"/>
        <v>1.3025605867346938E-4</v>
      </c>
      <c r="P24" s="123">
        <f t="shared" si="68"/>
        <v>1.1841459879406308E-4</v>
      </c>
      <c r="Q24" s="127">
        <f t="shared" si="69"/>
        <v>0.26785714285714285</v>
      </c>
      <c r="R24" s="91">
        <f t="shared" si="70"/>
        <v>0.84311954230653419</v>
      </c>
      <c r="S24" s="92">
        <f t="shared" si="2"/>
        <v>0.15147783251231528</v>
      </c>
      <c r="T24" s="92">
        <f t="shared" si="71"/>
        <v>0.91885845856269177</v>
      </c>
      <c r="U24" s="92">
        <f t="shared" si="3"/>
        <v>1.1289142996532828</v>
      </c>
      <c r="V24" s="118">
        <f t="shared" si="72"/>
        <v>0.43694230488021574</v>
      </c>
      <c r="W24" s="103">
        <f t="shared" si="73"/>
        <v>0.37405462611816692</v>
      </c>
      <c r="X24" s="117">
        <f t="shared" si="4"/>
        <v>0.68292682926829262</v>
      </c>
      <c r="Y24" s="103">
        <f t="shared" si="5"/>
        <v>0.2425749706582499</v>
      </c>
      <c r="Z24" s="103">
        <f t="shared" si="6"/>
        <v>0.58741255923010793</v>
      </c>
      <c r="AA24" s="118">
        <f t="shared" si="7"/>
        <v>0.46517636884782065</v>
      </c>
      <c r="AB24" s="117">
        <f t="shared" si="8"/>
        <v>0.68292682926829262</v>
      </c>
      <c r="AC24" s="103">
        <f t="shared" si="9"/>
        <v>0.2425749706582499</v>
      </c>
      <c r="AD24" s="103">
        <f t="shared" si="10"/>
        <v>0.58741255923010793</v>
      </c>
      <c r="AE24" s="118">
        <f t="shared" si="11"/>
        <v>0.30830750030004955</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163">
        <f t="shared" si="28"/>
        <v>4.2174127715602375E-2</v>
      </c>
      <c r="AW24" s="143">
        <f t="shared" si="74"/>
        <v>0</v>
      </c>
      <c r="AX24" s="154">
        <f t="shared" si="29"/>
        <v>0</v>
      </c>
      <c r="AY24" s="155">
        <v>20</v>
      </c>
      <c r="AZ24" s="156">
        <f t="shared" si="30"/>
        <v>0</v>
      </c>
      <c r="BA24" s="157">
        <f t="shared" si="31"/>
        <v>48.631898232242186</v>
      </c>
      <c r="BB24" s="158">
        <f t="shared" si="32"/>
        <v>1.7945170447697369E-2</v>
      </c>
      <c r="BC24" s="157">
        <f t="shared" si="75"/>
        <v>54.851934530250858</v>
      </c>
      <c r="BD24" s="159">
        <f t="shared" si="33"/>
        <v>2.0240363841662567E-2</v>
      </c>
      <c r="BE24" s="24">
        <f t="shared" si="34"/>
        <v>1.7173152254046292E-2</v>
      </c>
      <c r="BF24" s="27">
        <f t="shared" si="35"/>
        <v>4.7112408308391675E-2</v>
      </c>
      <c r="BG24" s="24">
        <f t="shared" si="36"/>
        <v>8.0579089006279261E-2</v>
      </c>
      <c r="BH24" s="61">
        <f t="shared" si="37"/>
        <v>0.11121639150506356</v>
      </c>
      <c r="BI24" s="24">
        <f t="shared" si="38"/>
        <v>8.0579089006279261E-2</v>
      </c>
      <c r="BJ24" s="27">
        <f t="shared" si="39"/>
        <v>0.11121639150506356</v>
      </c>
      <c r="BK24" s="24">
        <f t="shared" si="40"/>
        <v>0</v>
      </c>
      <c r="BL24" s="27">
        <f t="shared" si="41"/>
        <v>0</v>
      </c>
      <c r="BM24" s="24">
        <f t="shared" si="42"/>
        <v>0</v>
      </c>
      <c r="BN24" s="27">
        <f t="shared" si="43"/>
        <v>0</v>
      </c>
      <c r="BO24" s="24">
        <f t="shared" si="44"/>
        <v>0</v>
      </c>
      <c r="BP24" s="27">
        <f t="shared" si="45"/>
        <v>0</v>
      </c>
      <c r="BQ24" s="147">
        <f t="shared" si="46"/>
        <v>0</v>
      </c>
      <c r="BR24" s="27">
        <f t="shared" si="47"/>
        <v>0</v>
      </c>
      <c r="BS24" s="91">
        <f t="shared" si="76"/>
        <v>0.44787652158512359</v>
      </c>
      <c r="BT24" s="101">
        <f t="shared" si="77"/>
        <v>0.44787652158512359</v>
      </c>
      <c r="BU24" s="206">
        <f t="shared" si="78"/>
        <v>0.44787652158512359</v>
      </c>
      <c r="BV24" s="97">
        <f t="shared" si="79"/>
        <v>0.46582169203282098</v>
      </c>
      <c r="BW24" s="123">
        <f t="shared" si="80"/>
        <v>0.46811688542678614</v>
      </c>
      <c r="BX24" s="91">
        <f t="shared" si="81"/>
        <v>3.5701200131543621E-3</v>
      </c>
      <c r="BY24" s="92">
        <f t="shared" si="48"/>
        <v>5.0000000000000001E-3</v>
      </c>
      <c r="BZ24" s="233">
        <f t="shared" si="49"/>
        <v>5.0000000000000001E-3</v>
      </c>
      <c r="CA24" s="92">
        <f t="shared" si="50"/>
        <v>0</v>
      </c>
      <c r="CB24" s="92">
        <f t="shared" si="51"/>
        <v>0</v>
      </c>
      <c r="CC24" s="92">
        <f t="shared" si="52"/>
        <v>0</v>
      </c>
      <c r="CD24" s="92">
        <f t="shared" si="53"/>
        <v>0</v>
      </c>
      <c r="CE24" s="127">
        <f t="shared" si="82"/>
        <v>1.3570120013154361E-2</v>
      </c>
      <c r="CF24" s="91">
        <f t="shared" si="83"/>
        <v>1.4790497197353784E-2</v>
      </c>
      <c r="CG24" s="92">
        <f t="shared" si="54"/>
        <v>0.12747967479674799</v>
      </c>
      <c r="CH24" s="92">
        <f t="shared" si="55"/>
        <v>6.3233965672990066E-3</v>
      </c>
      <c r="CI24" s="92">
        <f t="shared" si="56"/>
        <v>0.14760000000000001</v>
      </c>
      <c r="CJ24" s="93">
        <f t="shared" si="57"/>
        <v>0.09</v>
      </c>
      <c r="CK24" s="127">
        <f t="shared" si="84"/>
        <v>0.38619356856140075</v>
      </c>
      <c r="CL24" s="91">
        <f t="shared" si="58"/>
        <v>0.15</v>
      </c>
      <c r="CM24" s="92">
        <f t="shared" si="59"/>
        <v>0.15</v>
      </c>
      <c r="CN24" s="92">
        <f t="shared" si="60"/>
        <v>0</v>
      </c>
      <c r="CO24" s="92">
        <f t="shared" si="61"/>
        <v>0</v>
      </c>
      <c r="CP24" s="92">
        <f t="shared" si="62"/>
        <v>0</v>
      </c>
      <c r="CQ24" s="92">
        <f t="shared" si="63"/>
        <v>0</v>
      </c>
      <c r="CR24" s="127">
        <f t="shared" si="85"/>
        <v>0.3</v>
      </c>
      <c r="CS24" s="92">
        <f t="shared" si="86"/>
        <v>0.69976368857455507</v>
      </c>
      <c r="CT24" s="92">
        <f t="shared" si="64"/>
        <v>5.6997636885745546</v>
      </c>
      <c r="CU24" s="93">
        <f t="shared" si="65"/>
        <v>0.8772293507576</v>
      </c>
      <c r="CV24">
        <f t="shared" si="87"/>
        <v>24.6</v>
      </c>
    </row>
    <row r="25" spans="1:100" ht="15.75" thickBot="1" x14ac:dyDescent="0.3">
      <c r="A25" s="12" t="s">
        <v>70</v>
      </c>
      <c r="B25" s="176">
        <f>Lm_FlyBB</f>
        <v>1.45E-4</v>
      </c>
      <c r="C25" s="12" t="s">
        <v>6</v>
      </c>
      <c r="K25">
        <v>21</v>
      </c>
      <c r="L25" s="91">
        <f t="shared" si="0"/>
        <v>25.38</v>
      </c>
      <c r="M25" s="93">
        <f t="shared" si="1"/>
        <v>0.21889501794939148</v>
      </c>
      <c r="N25" s="122">
        <f t="shared" si="66"/>
        <v>1.4714152572572025E-4</v>
      </c>
      <c r="O25" s="97">
        <f t="shared" si="67"/>
        <v>1.3242737315314823E-4</v>
      </c>
      <c r="P25" s="123">
        <f t="shared" si="68"/>
        <v>1.2038852104831657E-4</v>
      </c>
      <c r="Q25" s="127">
        <f t="shared" si="69"/>
        <v>0.26178010471204194</v>
      </c>
      <c r="R25" s="91">
        <f t="shared" si="70"/>
        <v>0.83617896856667528</v>
      </c>
      <c r="S25" s="92">
        <f t="shared" si="2"/>
        <v>0.15273515074923272</v>
      </c>
      <c r="T25" s="92">
        <f t="shared" si="71"/>
        <v>0.91254654394129164</v>
      </c>
      <c r="U25" s="92">
        <f t="shared" si="3"/>
        <v>1.1176591694897149</v>
      </c>
      <c r="V25" s="118">
        <f t="shared" si="72"/>
        <v>0.42842071778806673</v>
      </c>
      <c r="W25" s="103">
        <f t="shared" si="73"/>
        <v>0.36827881088514702</v>
      </c>
      <c r="X25" s="117">
        <f t="shared" si="4"/>
        <v>0.67730496453900713</v>
      </c>
      <c r="Y25" s="103">
        <f t="shared" si="5"/>
        <v>0.24458842655057347</v>
      </c>
      <c r="Z25" s="103">
        <f t="shared" si="6"/>
        <v>0.58509206426285931</v>
      </c>
      <c r="AA25" s="118">
        <f t="shared" si="7"/>
        <v>0.45688293357181303</v>
      </c>
      <c r="AB25" s="117">
        <f t="shared" si="8"/>
        <v>0.67730496453900713</v>
      </c>
      <c r="AC25" s="103">
        <f t="shared" si="9"/>
        <v>0.24458842655057347</v>
      </c>
      <c r="AD25" s="103">
        <f t="shared" si="10"/>
        <v>0.58509206426285931</v>
      </c>
      <c r="AE25" s="118">
        <f t="shared" si="11"/>
        <v>0.30386300147167294</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163">
        <f t="shared" si="28"/>
        <v>4.2524187516587451E-2</v>
      </c>
      <c r="AW25" s="143">
        <f t="shared" si="74"/>
        <v>0</v>
      </c>
      <c r="AX25" s="154">
        <f t="shared" si="29"/>
        <v>0</v>
      </c>
      <c r="AY25" s="155">
        <v>21</v>
      </c>
      <c r="AZ25" s="156">
        <f t="shared" si="30"/>
        <v>0</v>
      </c>
      <c r="BA25" s="157">
        <f t="shared" si="31"/>
        <v>49.713048681153978</v>
      </c>
      <c r="BB25" s="158">
        <f t="shared" si="32"/>
        <v>1.8344114963345818E-2</v>
      </c>
      <c r="BC25" s="157">
        <f t="shared" si="75"/>
        <v>55.978742923325818</v>
      </c>
      <c r="BD25" s="159">
        <f t="shared" si="33"/>
        <v>2.0656156138707228E-2</v>
      </c>
      <c r="BE25" s="24">
        <f t="shared" si="34"/>
        <v>1.6133812260199196E-2</v>
      </c>
      <c r="BF25" s="27">
        <f t="shared" si="35"/>
        <v>4.5668706303793521E-2</v>
      </c>
      <c r="BG25" s="24">
        <f t="shared" si="36"/>
        <v>8.0579089006279261E-2</v>
      </c>
      <c r="BH25" s="61">
        <f t="shared" si="37"/>
        <v>0.11033943603933204</v>
      </c>
      <c r="BI25" s="24">
        <f t="shared" si="38"/>
        <v>8.0579089006279261E-2</v>
      </c>
      <c r="BJ25" s="27">
        <f t="shared" si="39"/>
        <v>0.11033943603933204</v>
      </c>
      <c r="BK25" s="24">
        <f t="shared" si="40"/>
        <v>0</v>
      </c>
      <c r="BL25" s="27">
        <f t="shared" si="41"/>
        <v>0</v>
      </c>
      <c r="BM25" s="24">
        <f t="shared" si="42"/>
        <v>0</v>
      </c>
      <c r="BN25" s="27">
        <f t="shared" si="43"/>
        <v>0</v>
      </c>
      <c r="BO25" s="24">
        <f t="shared" si="44"/>
        <v>0</v>
      </c>
      <c r="BP25" s="27">
        <f t="shared" si="45"/>
        <v>0</v>
      </c>
      <c r="BQ25" s="147">
        <f t="shared" si="46"/>
        <v>0</v>
      </c>
      <c r="BR25" s="27">
        <f t="shared" si="47"/>
        <v>0</v>
      </c>
      <c r="BS25" s="91">
        <f t="shared" si="76"/>
        <v>0.44363956865521531</v>
      </c>
      <c r="BT25" s="101">
        <f t="shared" si="77"/>
        <v>0.44363956865521531</v>
      </c>
      <c r="BU25" s="206">
        <f t="shared" si="78"/>
        <v>0.44363956865521531</v>
      </c>
      <c r="BV25" s="97">
        <f t="shared" si="79"/>
        <v>0.46198368361856113</v>
      </c>
      <c r="BW25" s="123">
        <f t="shared" si="80"/>
        <v>0.46429572479392256</v>
      </c>
      <c r="BX25" s="91">
        <f t="shared" si="81"/>
        <v>3.3540520218145096E-3</v>
      </c>
      <c r="BY25" s="92">
        <f t="shared" si="48"/>
        <v>5.0000000000000001E-3</v>
      </c>
      <c r="BZ25" s="233">
        <f t="shared" si="49"/>
        <v>5.0000000000000001E-3</v>
      </c>
      <c r="CA25" s="92">
        <f t="shared" si="50"/>
        <v>0</v>
      </c>
      <c r="CB25" s="92">
        <f t="shared" si="51"/>
        <v>0</v>
      </c>
      <c r="CC25" s="92">
        <f t="shared" si="52"/>
        <v>0</v>
      </c>
      <c r="CD25" s="92">
        <f t="shared" si="53"/>
        <v>0</v>
      </c>
      <c r="CE25" s="127">
        <f t="shared" si="82"/>
        <v>1.335405202181451E-2</v>
      </c>
      <c r="CF25" s="91">
        <f t="shared" si="83"/>
        <v>1.3895358376088681E-2</v>
      </c>
      <c r="CG25" s="92">
        <f t="shared" si="54"/>
        <v>0.12936524822695034</v>
      </c>
      <c r="CH25" s="92">
        <f t="shared" si="55"/>
        <v>6.2713422642500646E-3</v>
      </c>
      <c r="CI25" s="92">
        <f t="shared" si="56"/>
        <v>0.15228</v>
      </c>
      <c r="CJ25" s="93">
        <f t="shared" si="57"/>
        <v>0.09</v>
      </c>
      <c r="CK25" s="127">
        <f t="shared" si="84"/>
        <v>0.39181194886728909</v>
      </c>
      <c r="CL25" s="91">
        <f t="shared" si="58"/>
        <v>0.15</v>
      </c>
      <c r="CM25" s="92">
        <f t="shared" si="59"/>
        <v>0.15</v>
      </c>
      <c r="CN25" s="92">
        <f t="shared" si="60"/>
        <v>0</v>
      </c>
      <c r="CO25" s="92">
        <f t="shared" si="61"/>
        <v>0</v>
      </c>
      <c r="CP25" s="92">
        <f t="shared" si="62"/>
        <v>0</v>
      </c>
      <c r="CQ25" s="92">
        <f t="shared" si="63"/>
        <v>0</v>
      </c>
      <c r="CR25" s="127">
        <f t="shared" si="85"/>
        <v>0.3</v>
      </c>
      <c r="CS25" s="92">
        <f t="shared" si="86"/>
        <v>0.70516600088910364</v>
      </c>
      <c r="CT25" s="92">
        <f t="shared" si="64"/>
        <v>5.7051660008891041</v>
      </c>
      <c r="CU25" s="93">
        <f t="shared" si="65"/>
        <v>0.87639868835031098</v>
      </c>
      <c r="CV25">
        <f t="shared" si="87"/>
        <v>25.38</v>
      </c>
    </row>
    <row r="26" spans="1:100" ht="15.75" thickBot="1" x14ac:dyDescent="0.3">
      <c r="A26" s="12" t="s">
        <v>347</v>
      </c>
      <c r="B26" s="12">
        <f>MAX(T4:T54)</f>
        <v>1.2862920391656025</v>
      </c>
      <c r="C26" s="12" t="s">
        <v>6</v>
      </c>
      <c r="K26">
        <v>22</v>
      </c>
      <c r="L26" s="91">
        <f t="shared" si="0"/>
        <v>26.16</v>
      </c>
      <c r="M26" s="93">
        <f t="shared" si="1"/>
        <v>0.21236833163438668</v>
      </c>
      <c r="N26" s="122">
        <f t="shared" si="66"/>
        <v>1.4946568975759763E-4</v>
      </c>
      <c r="O26" s="97">
        <f t="shared" si="67"/>
        <v>1.3451912078183792E-4</v>
      </c>
      <c r="P26" s="123">
        <f t="shared" si="68"/>
        <v>1.2229010980167079E-4</v>
      </c>
      <c r="Q26" s="127">
        <f t="shared" si="69"/>
        <v>0.25597269624573382</v>
      </c>
      <c r="R26" s="91">
        <f t="shared" si="70"/>
        <v>0.82965228225167054</v>
      </c>
      <c r="S26" s="92">
        <f t="shared" si="2"/>
        <v>0.15393668353536544</v>
      </c>
      <c r="T26" s="92">
        <f t="shared" si="71"/>
        <v>0.90662062401935328</v>
      </c>
      <c r="U26" s="92">
        <f t="shared" si="3"/>
        <v>1.1070146233031943</v>
      </c>
      <c r="V26" s="118">
        <f t="shared" si="72"/>
        <v>0.42035383011097471</v>
      </c>
      <c r="W26" s="103">
        <f t="shared" si="73"/>
        <v>0.36276305518587931</v>
      </c>
      <c r="X26" s="117">
        <f t="shared" si="4"/>
        <v>0.67201834862385323</v>
      </c>
      <c r="Y26" s="103">
        <f t="shared" si="5"/>
        <v>0.24651254822241858</v>
      </c>
      <c r="Z26" s="103">
        <f t="shared" si="6"/>
        <v>0.5829038991444988</v>
      </c>
      <c r="AA26" s="118">
        <f t="shared" si="7"/>
        <v>0.44900853097366733</v>
      </c>
      <c r="AB26" s="117">
        <f t="shared" si="8"/>
        <v>0.67201834862385323</v>
      </c>
      <c r="AC26" s="103">
        <f t="shared" si="9"/>
        <v>0.24651254822241858</v>
      </c>
      <c r="AD26" s="103">
        <f t="shared" si="10"/>
        <v>0.5829038991444988</v>
      </c>
      <c r="AE26" s="118">
        <f t="shared" si="11"/>
        <v>0.29962802879213424</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163">
        <f t="shared" si="28"/>
        <v>4.2858715654047599E-2</v>
      </c>
      <c r="AW26" s="143">
        <f t="shared" si="74"/>
        <v>0</v>
      </c>
      <c r="AX26" s="154">
        <f t="shared" si="29"/>
        <v>0</v>
      </c>
      <c r="AY26" s="155">
        <v>22</v>
      </c>
      <c r="AZ26" s="156">
        <f t="shared" si="30"/>
        <v>0</v>
      </c>
      <c r="BA26" s="157">
        <f t="shared" si="31"/>
        <v>50.760129029278211</v>
      </c>
      <c r="BB26" s="158">
        <f t="shared" si="32"/>
        <v>1.873048761180366E-2</v>
      </c>
      <c r="BC26" s="157">
        <f t="shared" si="75"/>
        <v>57.068286921990271</v>
      </c>
      <c r="BD26" s="159">
        <f t="shared" si="33"/>
        <v>2.105819787421441E-2</v>
      </c>
      <c r="BE26" s="24">
        <f t="shared" si="34"/>
        <v>1.5186047543899827E-2</v>
      </c>
      <c r="BF26" s="27">
        <f t="shared" si="35"/>
        <v>4.4310979110313779E-2</v>
      </c>
      <c r="BG26" s="24">
        <f t="shared" si="36"/>
        <v>8.0579089006279261E-2</v>
      </c>
      <c r="BH26" s="61">
        <f t="shared" si="37"/>
        <v>0.1095156702025029</v>
      </c>
      <c r="BI26" s="24">
        <f t="shared" si="38"/>
        <v>8.0579089006279261E-2</v>
      </c>
      <c r="BJ26" s="27">
        <f t="shared" si="39"/>
        <v>0.1095156702025029</v>
      </c>
      <c r="BK26" s="24">
        <f t="shared" si="40"/>
        <v>0</v>
      </c>
      <c r="BL26" s="27">
        <f t="shared" si="41"/>
        <v>0</v>
      </c>
      <c r="BM26" s="24">
        <f t="shared" si="42"/>
        <v>0</v>
      </c>
      <c r="BN26" s="27">
        <f t="shared" si="43"/>
        <v>0</v>
      </c>
      <c r="BO26" s="24">
        <f t="shared" si="44"/>
        <v>0</v>
      </c>
      <c r="BP26" s="27">
        <f t="shared" si="45"/>
        <v>0</v>
      </c>
      <c r="BQ26" s="147">
        <f t="shared" si="46"/>
        <v>0</v>
      </c>
      <c r="BR26" s="27">
        <f t="shared" si="47"/>
        <v>0</v>
      </c>
      <c r="BS26" s="91">
        <f t="shared" si="76"/>
        <v>0.43968654507177796</v>
      </c>
      <c r="BT26" s="101">
        <f t="shared" si="77"/>
        <v>0.43968654507177796</v>
      </c>
      <c r="BU26" s="206">
        <f t="shared" si="78"/>
        <v>0.43968654507177796</v>
      </c>
      <c r="BV26" s="97">
        <f t="shared" si="79"/>
        <v>0.45841703268358164</v>
      </c>
      <c r="BW26" s="123">
        <f t="shared" si="80"/>
        <v>0.46074474294599238</v>
      </c>
      <c r="BX26" s="91">
        <f t="shared" si="81"/>
        <v>3.1570215796820991E-3</v>
      </c>
      <c r="BY26" s="92">
        <f t="shared" si="48"/>
        <v>5.0000000000000001E-3</v>
      </c>
      <c r="BZ26" s="233">
        <f t="shared" si="49"/>
        <v>5.0000000000000001E-3</v>
      </c>
      <c r="CA26" s="92">
        <f t="shared" si="50"/>
        <v>0</v>
      </c>
      <c r="CB26" s="92">
        <f t="shared" si="51"/>
        <v>0</v>
      </c>
      <c r="CC26" s="92">
        <f t="shared" si="52"/>
        <v>0</v>
      </c>
      <c r="CD26" s="92">
        <f t="shared" si="53"/>
        <v>0</v>
      </c>
      <c r="CE26" s="127">
        <f t="shared" si="82"/>
        <v>1.3157021579682099E-2</v>
      </c>
      <c r="CF26" s="91">
        <f t="shared" si="83"/>
        <v>1.3079089401540123E-2</v>
      </c>
      <c r="CG26" s="92">
        <f t="shared" si="54"/>
        <v>0.13126758409785932</v>
      </c>
      <c r="CH26" s="92">
        <f t="shared" si="55"/>
        <v>6.2223921168875294E-3</v>
      </c>
      <c r="CI26" s="92">
        <f t="shared" si="56"/>
        <v>0.15696000000000002</v>
      </c>
      <c r="CJ26" s="93">
        <f t="shared" si="57"/>
        <v>0.09</v>
      </c>
      <c r="CK26" s="127">
        <f t="shared" si="84"/>
        <v>0.39752906561628698</v>
      </c>
      <c r="CL26" s="91">
        <f t="shared" si="58"/>
        <v>0.15</v>
      </c>
      <c r="CM26" s="92">
        <f t="shared" si="59"/>
        <v>0.15</v>
      </c>
      <c r="CN26" s="92">
        <f t="shared" si="60"/>
        <v>0</v>
      </c>
      <c r="CO26" s="92">
        <f t="shared" si="61"/>
        <v>0</v>
      </c>
      <c r="CP26" s="92">
        <f t="shared" si="62"/>
        <v>0</v>
      </c>
      <c r="CQ26" s="92">
        <f t="shared" si="63"/>
        <v>0</v>
      </c>
      <c r="CR26" s="127">
        <f t="shared" si="85"/>
        <v>0.3</v>
      </c>
      <c r="CS26" s="92">
        <f t="shared" si="86"/>
        <v>0.71068608719596904</v>
      </c>
      <c r="CT26" s="92">
        <f t="shared" si="64"/>
        <v>5.7106860871959686</v>
      </c>
      <c r="CU26" s="93">
        <f t="shared" si="65"/>
        <v>0.87555154033253368</v>
      </c>
      <c r="CV26">
        <f t="shared" si="87"/>
        <v>26.16</v>
      </c>
    </row>
    <row r="27" spans="1:100" ht="15.75" thickBot="1" x14ac:dyDescent="0.3">
      <c r="A27" s="12" t="s">
        <v>346</v>
      </c>
      <c r="B27" s="12">
        <f>MAX(S4:S54)</f>
        <v>0.17422867513611615</v>
      </c>
      <c r="C27" s="12" t="s">
        <v>6</v>
      </c>
      <c r="K27">
        <v>23</v>
      </c>
      <c r="L27" s="91">
        <f t="shared" si="0"/>
        <v>26.94</v>
      </c>
      <c r="M27" s="93">
        <f t="shared" si="1"/>
        <v>0.20621958261156478</v>
      </c>
      <c r="N27" s="122">
        <f t="shared" si="66"/>
        <v>1.5170601531210891E-4</v>
      </c>
      <c r="O27" s="97">
        <f t="shared" si="67"/>
        <v>1.3653541378089805E-4</v>
      </c>
      <c r="P27" s="123">
        <f t="shared" si="68"/>
        <v>1.2412310343718004E-4</v>
      </c>
      <c r="Q27" s="127">
        <f t="shared" si="69"/>
        <v>0.25041736227045075</v>
      </c>
      <c r="R27" s="91">
        <f t="shared" si="70"/>
        <v>0.82350353322884873</v>
      </c>
      <c r="S27" s="92">
        <f t="shared" si="2"/>
        <v>0.15508606297852742</v>
      </c>
      <c r="T27" s="92">
        <f t="shared" si="71"/>
        <v>0.9010465647181124</v>
      </c>
      <c r="U27" s="92">
        <f t="shared" si="3"/>
        <v>1.0969299588980377</v>
      </c>
      <c r="V27" s="118">
        <f t="shared" si="72"/>
        <v>0.41270385052101172</v>
      </c>
      <c r="W27" s="103">
        <f t="shared" si="73"/>
        <v>0.357488394192569</v>
      </c>
      <c r="X27" s="117">
        <f t="shared" si="4"/>
        <v>0.66703786191536751</v>
      </c>
      <c r="Y27" s="103">
        <f t="shared" si="5"/>
        <v>0.24835315209214687</v>
      </c>
      <c r="Z27" s="103">
        <f t="shared" si="6"/>
        <v>0.58083710388542098</v>
      </c>
      <c r="AA27" s="118">
        <f t="shared" si="7"/>
        <v>0.4415195456926283</v>
      </c>
      <c r="AB27" s="117">
        <f t="shared" si="8"/>
        <v>0.66703786191536751</v>
      </c>
      <c r="AC27" s="103">
        <f t="shared" si="9"/>
        <v>0.24835315209214687</v>
      </c>
      <c r="AD27" s="103">
        <f t="shared" si="10"/>
        <v>0.58083710388542098</v>
      </c>
      <c r="AE27" s="118">
        <f t="shared" si="11"/>
        <v>0.29558711279418676</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163">
        <f t="shared" si="28"/>
        <v>4.3178723371517812E-2</v>
      </c>
      <c r="AW27" s="143">
        <f t="shared" si="74"/>
        <v>0</v>
      </c>
      <c r="AX27" s="154">
        <f t="shared" si="29"/>
        <v>0</v>
      </c>
      <c r="AY27" s="155">
        <v>23</v>
      </c>
      <c r="AZ27" s="156">
        <f t="shared" si="30"/>
        <v>0</v>
      </c>
      <c r="BA27" s="157">
        <f t="shared" si="31"/>
        <v>51.774538214776015</v>
      </c>
      <c r="BB27" s="158">
        <f t="shared" si="32"/>
        <v>1.910480460125235E-2</v>
      </c>
      <c r="BC27" s="157">
        <f t="shared" si="75"/>
        <v>58.12222397306661</v>
      </c>
      <c r="BD27" s="159">
        <f t="shared" si="33"/>
        <v>2.1447100646061579E-2</v>
      </c>
      <c r="BE27" s="24">
        <f t="shared" si="34"/>
        <v>1.4319407611595086E-2</v>
      </c>
      <c r="BF27" s="27">
        <f t="shared" si="35"/>
        <v>4.3031762947563716E-2</v>
      </c>
      <c r="BG27" s="24">
        <f t="shared" si="36"/>
        <v>8.0579089006279261E-2</v>
      </c>
      <c r="BH27" s="61">
        <f t="shared" si="37"/>
        <v>0.10874043026554973</v>
      </c>
      <c r="BI27" s="24">
        <f t="shared" si="38"/>
        <v>8.0579089006279261E-2</v>
      </c>
      <c r="BJ27" s="27">
        <f t="shared" si="39"/>
        <v>0.10874043026554973</v>
      </c>
      <c r="BK27" s="24">
        <f t="shared" si="40"/>
        <v>0</v>
      </c>
      <c r="BL27" s="27">
        <f t="shared" si="41"/>
        <v>0</v>
      </c>
      <c r="BM27" s="24">
        <f t="shared" si="42"/>
        <v>0</v>
      </c>
      <c r="BN27" s="27">
        <f t="shared" si="43"/>
        <v>0</v>
      </c>
      <c r="BO27" s="24">
        <f t="shared" si="44"/>
        <v>0</v>
      </c>
      <c r="BP27" s="27">
        <f t="shared" si="45"/>
        <v>0</v>
      </c>
      <c r="BQ27" s="147">
        <f t="shared" si="46"/>
        <v>0</v>
      </c>
      <c r="BR27" s="27">
        <f t="shared" si="47"/>
        <v>0</v>
      </c>
      <c r="BS27" s="91">
        <f t="shared" si="76"/>
        <v>0.43599020910281677</v>
      </c>
      <c r="BT27" s="101">
        <f t="shared" si="77"/>
        <v>0.43599020910281677</v>
      </c>
      <c r="BU27" s="206">
        <f t="shared" si="78"/>
        <v>0.43599020910281677</v>
      </c>
      <c r="BV27" s="97">
        <f t="shared" si="79"/>
        <v>0.45509501370406913</v>
      </c>
      <c r="BW27" s="123">
        <f t="shared" si="80"/>
        <v>0.45743730974887836</v>
      </c>
      <c r="BX27" s="91">
        <f t="shared" si="81"/>
        <v>2.9768561376741593E-3</v>
      </c>
      <c r="BY27" s="92">
        <f t="shared" si="48"/>
        <v>5.0000000000000001E-3</v>
      </c>
      <c r="BZ27" s="233">
        <f t="shared" si="49"/>
        <v>5.0000000000000001E-3</v>
      </c>
      <c r="CA27" s="92">
        <f t="shared" si="50"/>
        <v>0</v>
      </c>
      <c r="CB27" s="92">
        <f t="shared" si="51"/>
        <v>0</v>
      </c>
      <c r="CC27" s="92">
        <f t="shared" si="52"/>
        <v>0</v>
      </c>
      <c r="CD27" s="92">
        <f t="shared" si="53"/>
        <v>0</v>
      </c>
      <c r="CE27" s="127">
        <f t="shared" si="82"/>
        <v>1.2976856137674159E-2</v>
      </c>
      <c r="CF27" s="91">
        <f t="shared" si="83"/>
        <v>1.2332689713221516E-2</v>
      </c>
      <c r="CG27" s="92">
        <f t="shared" si="54"/>
        <v>0.13318522642910172</v>
      </c>
      <c r="CH27" s="92">
        <f t="shared" si="55"/>
        <v>6.1762764992163667E-3</v>
      </c>
      <c r="CI27" s="92">
        <f t="shared" si="56"/>
        <v>0.16164000000000001</v>
      </c>
      <c r="CJ27" s="93">
        <f t="shared" si="57"/>
        <v>0.09</v>
      </c>
      <c r="CK27" s="127">
        <f t="shared" si="84"/>
        <v>0.40333419264153958</v>
      </c>
      <c r="CL27" s="91">
        <f t="shared" si="58"/>
        <v>0.15</v>
      </c>
      <c r="CM27" s="92">
        <f t="shared" si="59"/>
        <v>0.15</v>
      </c>
      <c r="CN27" s="92">
        <f t="shared" si="60"/>
        <v>0</v>
      </c>
      <c r="CO27" s="92">
        <f t="shared" si="61"/>
        <v>0</v>
      </c>
      <c r="CP27" s="92">
        <f t="shared" si="62"/>
        <v>0</v>
      </c>
      <c r="CQ27" s="92">
        <f t="shared" si="63"/>
        <v>0</v>
      </c>
      <c r="CR27" s="127">
        <f t="shared" si="85"/>
        <v>0.3</v>
      </c>
      <c r="CS27" s="92">
        <f t="shared" si="86"/>
        <v>0.7163110487792137</v>
      </c>
      <c r="CT27" s="92">
        <f t="shared" si="64"/>
        <v>5.7163110487792137</v>
      </c>
      <c r="CU27" s="93">
        <f t="shared" si="65"/>
        <v>0.87468998053697755</v>
      </c>
      <c r="CV27">
        <f t="shared" si="87"/>
        <v>26.94</v>
      </c>
    </row>
    <row r="28" spans="1:100" ht="15.75" thickBot="1" x14ac:dyDescent="0.3">
      <c r="A28" s="12" t="s">
        <v>348</v>
      </c>
      <c r="B28" s="21">
        <f>MAX(V4:V54)</f>
        <v>0.87322668827753314</v>
      </c>
      <c r="C28" s="12" t="s">
        <v>6</v>
      </c>
      <c r="K28">
        <v>24</v>
      </c>
      <c r="L28" s="91">
        <f t="shared" si="0"/>
        <v>27.72</v>
      </c>
      <c r="M28" s="93">
        <f t="shared" si="1"/>
        <v>0.20041686708353373</v>
      </c>
      <c r="N28" s="122">
        <f t="shared" si="66"/>
        <v>1.5386678200692038E-4</v>
      </c>
      <c r="O28" s="97">
        <f t="shared" si="67"/>
        <v>1.3848010380622839E-4</v>
      </c>
      <c r="P28" s="123">
        <f t="shared" si="68"/>
        <v>1.2589100346020762E-4</v>
      </c>
      <c r="Q28" s="127">
        <f t="shared" si="69"/>
        <v>0.24509803921568629</v>
      </c>
      <c r="R28" s="91">
        <f t="shared" si="70"/>
        <v>0.81770081770081759</v>
      </c>
      <c r="S28" s="92">
        <f t="shared" si="2"/>
        <v>0.15618661257606489</v>
      </c>
      <c r="T28" s="92">
        <f t="shared" si="71"/>
        <v>0.89579412398885006</v>
      </c>
      <c r="U28" s="92">
        <f t="shared" si="3"/>
        <v>1.0873600246101676</v>
      </c>
      <c r="V28" s="118">
        <f t="shared" si="72"/>
        <v>0.40543715274730235</v>
      </c>
      <c r="W28" s="103">
        <f t="shared" si="73"/>
        <v>0.35243774516396587</v>
      </c>
      <c r="X28" s="117">
        <f t="shared" si="4"/>
        <v>0.66233766233766234</v>
      </c>
      <c r="Y28" s="103">
        <f t="shared" si="5"/>
        <v>0.25011556037263832</v>
      </c>
      <c r="Z28" s="103">
        <f t="shared" si="6"/>
        <v>0.57888189462042905</v>
      </c>
      <c r="AA28" s="118">
        <f t="shared" si="7"/>
        <v>0.43438597922920946</v>
      </c>
      <c r="AB28" s="117">
        <f t="shared" si="8"/>
        <v>0.66233766233766234</v>
      </c>
      <c r="AC28" s="103">
        <f t="shared" si="9"/>
        <v>0.25011556037263832</v>
      </c>
      <c r="AD28" s="103">
        <f t="shared" si="10"/>
        <v>0.57888189462042905</v>
      </c>
      <c r="AE28" s="118">
        <f t="shared" si="11"/>
        <v>0.29172632366541335</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163">
        <f t="shared" si="28"/>
        <v>4.3485135989879818E-2</v>
      </c>
      <c r="AW28" s="143">
        <f t="shared" si="74"/>
        <v>0</v>
      </c>
      <c r="AX28" s="154">
        <f t="shared" si="29"/>
        <v>0</v>
      </c>
      <c r="AY28" s="155">
        <v>24</v>
      </c>
      <c r="AZ28" s="156">
        <f t="shared" si="30"/>
        <v>0</v>
      </c>
      <c r="BA28" s="157">
        <f t="shared" si="31"/>
        <v>52.757618926493592</v>
      </c>
      <c r="BB28" s="158">
        <f t="shared" si="32"/>
        <v>1.9467561383876134E-2</v>
      </c>
      <c r="BC28" s="157">
        <f t="shared" si="75"/>
        <v>59.142131050022627</v>
      </c>
      <c r="BD28" s="159">
        <f t="shared" si="33"/>
        <v>2.1823446357458347E-2</v>
      </c>
      <c r="BE28" s="24">
        <f t="shared" si="34"/>
        <v>1.3524891277830161E-2</v>
      </c>
      <c r="BF28" s="27">
        <f t="shared" si="35"/>
        <v>4.1824434031990189E-2</v>
      </c>
      <c r="BG28" s="24">
        <f t="shared" si="36"/>
        <v>8.0579089006279261E-2</v>
      </c>
      <c r="BH28" s="61">
        <f t="shared" si="37"/>
        <v>0.10800958007789828</v>
      </c>
      <c r="BI28" s="24">
        <f t="shared" si="38"/>
        <v>8.0579089006279261E-2</v>
      </c>
      <c r="BJ28" s="27">
        <f t="shared" si="39"/>
        <v>0.10800958007789828</v>
      </c>
      <c r="BK28" s="24">
        <f t="shared" si="40"/>
        <v>0</v>
      </c>
      <c r="BL28" s="27">
        <f t="shared" si="41"/>
        <v>0</v>
      </c>
      <c r="BM28" s="24">
        <f t="shared" si="42"/>
        <v>0</v>
      </c>
      <c r="BN28" s="27">
        <f t="shared" si="43"/>
        <v>0</v>
      </c>
      <c r="BO28" s="24">
        <f t="shared" si="44"/>
        <v>0</v>
      </c>
      <c r="BP28" s="27">
        <f t="shared" si="45"/>
        <v>0</v>
      </c>
      <c r="BQ28" s="147">
        <f t="shared" si="46"/>
        <v>0</v>
      </c>
      <c r="BR28" s="27">
        <f t="shared" si="47"/>
        <v>0</v>
      </c>
      <c r="BS28" s="91">
        <f t="shared" si="76"/>
        <v>0.43252666347817542</v>
      </c>
      <c r="BT28" s="101">
        <f t="shared" si="77"/>
        <v>0.43252666347817542</v>
      </c>
      <c r="BU28" s="206">
        <f t="shared" si="78"/>
        <v>0.43252666347817542</v>
      </c>
      <c r="BV28" s="97">
        <f t="shared" si="79"/>
        <v>0.45199422486205154</v>
      </c>
      <c r="BW28" s="123">
        <f t="shared" si="80"/>
        <v>0.45435010983563379</v>
      </c>
      <c r="BX28" s="91">
        <f t="shared" si="81"/>
        <v>2.8116844428105179E-3</v>
      </c>
      <c r="BY28" s="92">
        <f t="shared" si="48"/>
        <v>5.0000000000000001E-3</v>
      </c>
      <c r="BZ28" s="233">
        <f t="shared" si="49"/>
        <v>5.0000000000000001E-3</v>
      </c>
      <c r="CA28" s="92">
        <f t="shared" si="50"/>
        <v>0</v>
      </c>
      <c r="CB28" s="92">
        <f t="shared" si="51"/>
        <v>0</v>
      </c>
      <c r="CC28" s="92">
        <f t="shared" si="52"/>
        <v>0</v>
      </c>
      <c r="CD28" s="92">
        <f t="shared" si="53"/>
        <v>0</v>
      </c>
      <c r="CE28" s="127">
        <f t="shared" si="82"/>
        <v>1.2811684442810518E-2</v>
      </c>
      <c r="CF28" s="91">
        <f t="shared" si="83"/>
        <v>1.1648406977357858E-2</v>
      </c>
      <c r="CG28" s="92">
        <f t="shared" si="54"/>
        <v>0.13511688311688311</v>
      </c>
      <c r="CH28" s="92">
        <f t="shared" si="55"/>
        <v>6.1327561327561321E-3</v>
      </c>
      <c r="CI28" s="92">
        <f t="shared" si="56"/>
        <v>0.16632000000000002</v>
      </c>
      <c r="CJ28" s="93">
        <f t="shared" si="57"/>
        <v>0.09</v>
      </c>
      <c r="CK28" s="127">
        <f t="shared" si="84"/>
        <v>0.40921804622699709</v>
      </c>
      <c r="CL28" s="91">
        <f t="shared" si="58"/>
        <v>0.15</v>
      </c>
      <c r="CM28" s="92">
        <f t="shared" si="59"/>
        <v>0.15</v>
      </c>
      <c r="CN28" s="92">
        <f t="shared" si="60"/>
        <v>0</v>
      </c>
      <c r="CO28" s="92">
        <f t="shared" si="61"/>
        <v>0</v>
      </c>
      <c r="CP28" s="92">
        <f t="shared" si="62"/>
        <v>0</v>
      </c>
      <c r="CQ28" s="92">
        <f t="shared" si="63"/>
        <v>0</v>
      </c>
      <c r="CR28" s="127">
        <f t="shared" si="85"/>
        <v>0.3</v>
      </c>
      <c r="CS28" s="92">
        <f t="shared" si="86"/>
        <v>0.72202973066980758</v>
      </c>
      <c r="CT28" s="92">
        <f t="shared" si="64"/>
        <v>5.7220297306698074</v>
      </c>
      <c r="CU28" s="93">
        <f t="shared" si="65"/>
        <v>0.87381580231927802</v>
      </c>
      <c r="CV28">
        <f t="shared" si="87"/>
        <v>27.72</v>
      </c>
    </row>
    <row r="29" spans="1:100" ht="15.75" thickBot="1" x14ac:dyDescent="0.3">
      <c r="A29" s="310" t="s">
        <v>358</v>
      </c>
      <c r="B29" s="310"/>
      <c r="C29" s="310"/>
      <c r="K29">
        <v>25</v>
      </c>
      <c r="L29" s="91">
        <f t="shared" si="0"/>
        <v>28.5</v>
      </c>
      <c r="M29" s="93">
        <f t="shared" si="1"/>
        <v>0.19493177387914229</v>
      </c>
      <c r="N29" s="122">
        <f t="shared" si="66"/>
        <v>1.5595199999999997E-4</v>
      </c>
      <c r="O29" s="97">
        <f t="shared" si="67"/>
        <v>1.4035679999999998E-4</v>
      </c>
      <c r="P29" s="123">
        <f t="shared" si="68"/>
        <v>1.275970909090909E-4</v>
      </c>
      <c r="Q29" s="127">
        <f t="shared" si="69"/>
        <v>0.24</v>
      </c>
      <c r="R29" s="91">
        <f t="shared" si="70"/>
        <v>0.81221572449642621</v>
      </c>
      <c r="S29" s="92">
        <f t="shared" si="2"/>
        <v>0.15724137931034482</v>
      </c>
      <c r="T29" s="92">
        <f t="shared" si="71"/>
        <v>0.89083641415159864</v>
      </c>
      <c r="U29" s="92">
        <f t="shared" si="3"/>
        <v>1.0782644746493868</v>
      </c>
      <c r="V29" s="118">
        <f t="shared" si="72"/>
        <v>0.39852371193690533</v>
      </c>
      <c r="W29" s="103">
        <f t="shared" si="73"/>
        <v>0.34759567389180845</v>
      </c>
      <c r="X29" s="117">
        <f t="shared" si="4"/>
        <v>0.65789473684210531</v>
      </c>
      <c r="Y29" s="103">
        <f t="shared" si="5"/>
        <v>0.25180465246866129</v>
      </c>
      <c r="Z29" s="103">
        <f t="shared" si="6"/>
        <v>0.57702950994268387</v>
      </c>
      <c r="AA29" s="118">
        <f t="shared" si="7"/>
        <v>0.42758096866505063</v>
      </c>
      <c r="AB29" s="117">
        <f t="shared" si="8"/>
        <v>0.65789473684210531</v>
      </c>
      <c r="AC29" s="103">
        <f t="shared" si="9"/>
        <v>0.25180465246866129</v>
      </c>
      <c r="AD29" s="103">
        <f t="shared" si="10"/>
        <v>0.57702950994268387</v>
      </c>
      <c r="AE29" s="118">
        <f t="shared" si="11"/>
        <v>0.28803308029581237</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163">
        <f t="shared" si="28"/>
        <v>4.3778801843317977E-2</v>
      </c>
      <c r="AW29" s="143">
        <f t="shared" si="74"/>
        <v>0</v>
      </c>
      <c r="AX29" s="154">
        <f t="shared" si="29"/>
        <v>0</v>
      </c>
      <c r="AY29" s="155">
        <v>25</v>
      </c>
      <c r="AZ29" s="156">
        <f t="shared" si="30"/>
        <v>0</v>
      </c>
      <c r="BA29" s="157">
        <f t="shared" si="31"/>
        <v>53.710657643944188</v>
      </c>
      <c r="BB29" s="158">
        <f t="shared" si="32"/>
        <v>1.9819232670615406E-2</v>
      </c>
      <c r="BC29" s="157">
        <f t="shared" si="75"/>
        <v>60.129507248941053</v>
      </c>
      <c r="BD29" s="159">
        <f t="shared" si="33"/>
        <v>2.2187788174859245E-2</v>
      </c>
      <c r="BE29" s="24">
        <f t="shared" si="34"/>
        <v>1.2794711995147617E-2</v>
      </c>
      <c r="BF29" s="27">
        <f t="shared" si="35"/>
        <v>4.0683093617385313E-2</v>
      </c>
      <c r="BG29" s="24">
        <f t="shared" si="36"/>
        <v>8.0579089006279261E-2</v>
      </c>
      <c r="BH29" s="61">
        <f t="shared" si="37"/>
        <v>0.10731943868969111</v>
      </c>
      <c r="BI29" s="24">
        <f t="shared" si="38"/>
        <v>8.0579089006279261E-2</v>
      </c>
      <c r="BJ29" s="27">
        <f t="shared" si="39"/>
        <v>0.10731943868969111</v>
      </c>
      <c r="BK29" s="24">
        <f t="shared" si="40"/>
        <v>0</v>
      </c>
      <c r="BL29" s="27">
        <f t="shared" si="41"/>
        <v>0</v>
      </c>
      <c r="BM29" s="24">
        <f t="shared" si="42"/>
        <v>0</v>
      </c>
      <c r="BN29" s="27">
        <f t="shared" si="43"/>
        <v>0</v>
      </c>
      <c r="BO29" s="24">
        <f t="shared" si="44"/>
        <v>0</v>
      </c>
      <c r="BP29" s="27">
        <f t="shared" si="45"/>
        <v>0</v>
      </c>
      <c r="BQ29" s="147">
        <f t="shared" si="46"/>
        <v>0</v>
      </c>
      <c r="BR29" s="27">
        <f t="shared" si="47"/>
        <v>0</v>
      </c>
      <c r="BS29" s="91">
        <f t="shared" si="76"/>
        <v>0.42927486100447371</v>
      </c>
      <c r="BT29" s="101">
        <f t="shared" si="77"/>
        <v>0.42927486100447371</v>
      </c>
      <c r="BU29" s="206">
        <f t="shared" si="78"/>
        <v>0.42927486100447371</v>
      </c>
      <c r="BV29" s="97">
        <f t="shared" si="79"/>
        <v>0.44909409367508912</v>
      </c>
      <c r="BW29" s="123">
        <f t="shared" si="80"/>
        <v>0.45146264917933293</v>
      </c>
      <c r="BX29" s="91">
        <f t="shared" si="81"/>
        <v>2.6598877527368343E-3</v>
      </c>
      <c r="BY29" s="92">
        <f t="shared" si="48"/>
        <v>5.0000000000000001E-3</v>
      </c>
      <c r="BZ29" s="233">
        <f t="shared" si="49"/>
        <v>5.0000000000000001E-3</v>
      </c>
      <c r="CA29" s="92">
        <f t="shared" si="50"/>
        <v>0</v>
      </c>
      <c r="CB29" s="92">
        <f t="shared" si="51"/>
        <v>0</v>
      </c>
      <c r="CC29" s="92">
        <f t="shared" si="52"/>
        <v>0</v>
      </c>
      <c r="CD29" s="92">
        <f t="shared" si="53"/>
        <v>0</v>
      </c>
      <c r="CE29" s="127">
        <f t="shared" si="82"/>
        <v>1.2659887752736835E-2</v>
      </c>
      <c r="CF29" s="91">
        <f t="shared" si="83"/>
        <v>1.1019534975624027E-2</v>
      </c>
      <c r="CG29" s="92">
        <f t="shared" si="54"/>
        <v>0.13706140350877194</v>
      </c>
      <c r="CH29" s="92">
        <f t="shared" si="55"/>
        <v>6.0916179337231974E-3</v>
      </c>
      <c r="CI29" s="92">
        <f t="shared" si="56"/>
        <v>0.17100000000000001</v>
      </c>
      <c r="CJ29" s="93">
        <f t="shared" si="57"/>
        <v>0.09</v>
      </c>
      <c r="CK29" s="127">
        <f t="shared" si="84"/>
        <v>0.41517255641811912</v>
      </c>
      <c r="CL29" s="91">
        <f t="shared" si="58"/>
        <v>0.15</v>
      </c>
      <c r="CM29" s="92">
        <f t="shared" si="59"/>
        <v>0.15</v>
      </c>
      <c r="CN29" s="92">
        <f t="shared" si="60"/>
        <v>0</v>
      </c>
      <c r="CO29" s="92">
        <f t="shared" si="61"/>
        <v>0</v>
      </c>
      <c r="CP29" s="92">
        <f t="shared" si="62"/>
        <v>0</v>
      </c>
      <c r="CQ29" s="92">
        <f t="shared" si="63"/>
        <v>0</v>
      </c>
      <c r="CR29" s="127">
        <f t="shared" si="85"/>
        <v>0.3</v>
      </c>
      <c r="CS29" s="92">
        <f t="shared" si="86"/>
        <v>0.72783244417085591</v>
      </c>
      <c r="CT29" s="92">
        <f t="shared" si="64"/>
        <v>5.7278324441708559</v>
      </c>
      <c r="CU29" s="93">
        <f t="shared" si="65"/>
        <v>0.87293056295465454</v>
      </c>
      <c r="CV29">
        <f t="shared" si="87"/>
        <v>28.5</v>
      </c>
    </row>
    <row r="30" spans="1:100" ht="15.75" thickBot="1" x14ac:dyDescent="0.3">
      <c r="A30" s="12" t="s">
        <v>350</v>
      </c>
      <c r="B30" s="12">
        <f>MAX(U4:U54)</f>
        <v>1.7071504202591687</v>
      </c>
      <c r="C30" s="12" t="s">
        <v>6</v>
      </c>
      <c r="K30">
        <v>26</v>
      </c>
      <c r="L30" s="91">
        <f t="shared" si="0"/>
        <v>29.28</v>
      </c>
      <c r="M30" s="93">
        <f t="shared" si="1"/>
        <v>0.18973891924711597</v>
      </c>
      <c r="N30" s="122">
        <f t="shared" si="66"/>
        <v>1.5796542879885218E-4</v>
      </c>
      <c r="O30" s="97">
        <f t="shared" si="67"/>
        <v>1.4216888591896698E-4</v>
      </c>
      <c r="P30" s="123">
        <f t="shared" si="68"/>
        <v>1.2924444174451544E-4</v>
      </c>
      <c r="Q30" s="127">
        <f t="shared" si="69"/>
        <v>0.23510971786833856</v>
      </c>
      <c r="R30" s="91">
        <f t="shared" si="70"/>
        <v>0.80702286986439997</v>
      </c>
      <c r="S30" s="92">
        <f t="shared" si="2"/>
        <v>0.15825316182034377</v>
      </c>
      <c r="T30" s="92">
        <f t="shared" si="71"/>
        <v>0.88614945077457186</v>
      </c>
      <c r="U30" s="92">
        <f t="shared" si="3"/>
        <v>1.069607141649167</v>
      </c>
      <c r="V30" s="118">
        <f t="shared" si="72"/>
        <v>0.39193663053576017</v>
      </c>
      <c r="W30" s="103">
        <f t="shared" si="73"/>
        <v>0.3429481956194862</v>
      </c>
      <c r="X30" s="117">
        <f t="shared" si="4"/>
        <v>0.65368852459016391</v>
      </c>
      <c r="Y30" s="103">
        <f t="shared" si="5"/>
        <v>0.25342491009055174</v>
      </c>
      <c r="Z30" s="103">
        <f t="shared" si="6"/>
        <v>0.5752720807414321</v>
      </c>
      <c r="AA30" s="118">
        <f t="shared" si="7"/>
        <v>0.42108038090234667</v>
      </c>
      <c r="AB30" s="117">
        <f t="shared" si="8"/>
        <v>0.65368852459016391</v>
      </c>
      <c r="AC30" s="103">
        <f t="shared" si="9"/>
        <v>0.25342491009055174</v>
      </c>
      <c r="AD30" s="103">
        <f t="shared" si="10"/>
        <v>0.5752720807414321</v>
      </c>
      <c r="AE30" s="118">
        <f t="shared" si="11"/>
        <v>0.28449598745953653</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163">
        <f t="shared" si="28"/>
        <v>4.4060500122791564E-2</v>
      </c>
      <c r="AW30" s="143">
        <f t="shared" si="74"/>
        <v>0</v>
      </c>
      <c r="AX30" s="154">
        <f t="shared" si="29"/>
        <v>0</v>
      </c>
      <c r="AY30" s="155">
        <v>26</v>
      </c>
      <c r="AZ30" s="156">
        <f t="shared" si="30"/>
        <v>0</v>
      </c>
      <c r="BA30" s="157">
        <f t="shared" si="31"/>
        <v>54.634885299775938</v>
      </c>
      <c r="BB30" s="158">
        <f t="shared" si="32"/>
        <v>2.0160272675617322E-2</v>
      </c>
      <c r="BC30" s="157">
        <f t="shared" si="75"/>
        <v>61.085776712712274</v>
      </c>
      <c r="BD30" s="159">
        <f t="shared" si="33"/>
        <v>2.2540651606990827E-2</v>
      </c>
      <c r="BE30" s="24">
        <f t="shared" si="34"/>
        <v>1.2122106347021893E-2</v>
      </c>
      <c r="BF30" s="27">
        <f t="shared" si="35"/>
        <v>3.9602471413609959E-2</v>
      </c>
      <c r="BG30" s="24">
        <f t="shared" si="36"/>
        <v>8.0579089006279261E-2</v>
      </c>
      <c r="BH30" s="61">
        <f t="shared" si="37"/>
        <v>0.10666671955530838</v>
      </c>
      <c r="BI30" s="24">
        <f t="shared" si="38"/>
        <v>8.0579089006279261E-2</v>
      </c>
      <c r="BJ30" s="27">
        <f t="shared" si="39"/>
        <v>0.10666671955530838</v>
      </c>
      <c r="BK30" s="24">
        <f t="shared" si="40"/>
        <v>0</v>
      </c>
      <c r="BL30" s="27">
        <f t="shared" si="41"/>
        <v>0</v>
      </c>
      <c r="BM30" s="24">
        <f t="shared" si="42"/>
        <v>0</v>
      </c>
      <c r="BN30" s="27">
        <f t="shared" si="43"/>
        <v>0</v>
      </c>
      <c r="BO30" s="24">
        <f t="shared" si="44"/>
        <v>0</v>
      </c>
      <c r="BP30" s="27">
        <f t="shared" si="45"/>
        <v>0</v>
      </c>
      <c r="BQ30" s="147">
        <f t="shared" si="46"/>
        <v>0</v>
      </c>
      <c r="BR30" s="27">
        <f t="shared" si="47"/>
        <v>0</v>
      </c>
      <c r="BS30" s="91">
        <f t="shared" si="76"/>
        <v>0.42621619488380713</v>
      </c>
      <c r="BT30" s="101">
        <f t="shared" si="77"/>
        <v>0.42621619488380713</v>
      </c>
      <c r="BU30" s="206">
        <f t="shared" si="78"/>
        <v>0.42621619488380713</v>
      </c>
      <c r="BV30" s="97">
        <f t="shared" si="79"/>
        <v>0.44637646755942445</v>
      </c>
      <c r="BW30" s="123">
        <f t="shared" si="80"/>
        <v>0.44875684649079794</v>
      </c>
      <c r="BX30" s="91">
        <f t="shared" si="81"/>
        <v>2.5200600233944519E-3</v>
      </c>
      <c r="BY30" s="92">
        <f t="shared" si="48"/>
        <v>5.0000000000000001E-3</v>
      </c>
      <c r="BZ30" s="233">
        <f t="shared" si="49"/>
        <v>5.0000000000000001E-3</v>
      </c>
      <c r="CA30" s="92">
        <f t="shared" si="50"/>
        <v>0</v>
      </c>
      <c r="CB30" s="92">
        <f t="shared" si="51"/>
        <v>0</v>
      </c>
      <c r="CC30" s="92">
        <f t="shared" si="52"/>
        <v>0</v>
      </c>
      <c r="CD30" s="92">
        <f t="shared" si="53"/>
        <v>0</v>
      </c>
      <c r="CE30" s="127">
        <f t="shared" si="82"/>
        <v>1.2520060023394453E-2</v>
      </c>
      <c r="CF30" s="91">
        <f t="shared" si="83"/>
        <v>1.0440248668348442E-2</v>
      </c>
      <c r="CG30" s="92">
        <f t="shared" si="54"/>
        <v>0.13901775956284157</v>
      </c>
      <c r="CH30" s="92">
        <f t="shared" si="55"/>
        <v>6.0526715239830001E-3</v>
      </c>
      <c r="CI30" s="92">
        <f t="shared" si="56"/>
        <v>0.17568</v>
      </c>
      <c r="CJ30" s="93">
        <f t="shared" si="57"/>
        <v>0.09</v>
      </c>
      <c r="CK30" s="127">
        <f t="shared" si="84"/>
        <v>0.42119067975517299</v>
      </c>
      <c r="CL30" s="91">
        <f t="shared" si="58"/>
        <v>0.15</v>
      </c>
      <c r="CM30" s="92">
        <f t="shared" si="59"/>
        <v>0.15</v>
      </c>
      <c r="CN30" s="92">
        <f t="shared" si="60"/>
        <v>0</v>
      </c>
      <c r="CO30" s="92">
        <f t="shared" si="61"/>
        <v>0</v>
      </c>
      <c r="CP30" s="92">
        <f t="shared" si="62"/>
        <v>0</v>
      </c>
      <c r="CQ30" s="92">
        <f t="shared" si="63"/>
        <v>0</v>
      </c>
      <c r="CR30" s="127">
        <f t="shared" si="85"/>
        <v>0.3</v>
      </c>
      <c r="CS30" s="92">
        <f t="shared" si="86"/>
        <v>0.73371073977856749</v>
      </c>
      <c r="CT30" s="92">
        <f t="shared" si="64"/>
        <v>5.7337107397785676</v>
      </c>
      <c r="CU30" s="93">
        <f t="shared" si="65"/>
        <v>0.87203562002381318</v>
      </c>
      <c r="CV30">
        <f t="shared" si="87"/>
        <v>29.28</v>
      </c>
    </row>
    <row r="31" spans="1:100" ht="15.75" thickBot="1" x14ac:dyDescent="0.3">
      <c r="A31" s="12" t="s">
        <v>349</v>
      </c>
      <c r="B31" s="12">
        <f>VLOOKUP(ILrms_Total_Max_FBB,U4:AU54,2,FALSE)</f>
        <v>0.87322668827753314</v>
      </c>
      <c r="C31" s="12" t="s">
        <v>6</v>
      </c>
      <c r="K31">
        <v>27</v>
      </c>
      <c r="L31" s="91">
        <f t="shared" si="0"/>
        <v>30.060000000000002</v>
      </c>
      <c r="M31" s="93">
        <f t="shared" si="1"/>
        <v>0.1848155540770311</v>
      </c>
      <c r="N31" s="122">
        <f t="shared" si="66"/>
        <v>1.5991059483106456E-4</v>
      </c>
      <c r="O31" s="97">
        <f t="shared" si="67"/>
        <v>1.439195353479581E-4</v>
      </c>
      <c r="P31" s="123">
        <f t="shared" si="68"/>
        <v>1.3083594122541647E-4</v>
      </c>
      <c r="Q31" s="127">
        <f t="shared" si="69"/>
        <v>0.23041474654377878</v>
      </c>
      <c r="R31" s="91">
        <f t="shared" si="70"/>
        <v>0.80209950469431501</v>
      </c>
      <c r="S31" s="92">
        <f t="shared" si="2"/>
        <v>0.15922453519783886</v>
      </c>
      <c r="T31" s="92">
        <f t="shared" si="71"/>
        <v>0.88171177229323439</v>
      </c>
      <c r="U31" s="92">
        <f t="shared" si="3"/>
        <v>1.0613555054005175</v>
      </c>
      <c r="V31" s="118">
        <f t="shared" si="72"/>
        <v>0.38565173749144699</v>
      </c>
      <c r="W31" s="103">
        <f t="shared" si="73"/>
        <v>0.33848260457721002</v>
      </c>
      <c r="X31" s="117">
        <f t="shared" si="4"/>
        <v>0.64970059880239517</v>
      </c>
      <c r="Y31" s="103">
        <f t="shared" si="5"/>
        <v>0.25498045696256633</v>
      </c>
      <c r="Z31" s="103">
        <f t="shared" si="6"/>
        <v>0.57360251944742824</v>
      </c>
      <c r="AA31" s="118">
        <f t="shared" si="7"/>
        <v>0.41486246887877293</v>
      </c>
      <c r="AB31" s="117">
        <f t="shared" si="8"/>
        <v>0.64970059880239517</v>
      </c>
      <c r="AC31" s="103">
        <f t="shared" si="9"/>
        <v>0.25498045696256633</v>
      </c>
      <c r="AD31" s="103">
        <f t="shared" si="10"/>
        <v>0.57360251944742824</v>
      </c>
      <c r="AE31" s="118">
        <f t="shared" si="11"/>
        <v>0.28110469636140423</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163">
        <f t="shared" si="28"/>
        <v>4.4330947779736236E-2</v>
      </c>
      <c r="AW31" s="143">
        <f t="shared" si="74"/>
        <v>0</v>
      </c>
      <c r="AX31" s="154">
        <f t="shared" si="29"/>
        <v>0</v>
      </c>
      <c r="AY31" s="155">
        <v>27</v>
      </c>
      <c r="AZ31" s="156">
        <f t="shared" si="30"/>
        <v>0</v>
      </c>
      <c r="BA31" s="157">
        <f t="shared" si="31"/>
        <v>55.531478401242524</v>
      </c>
      <c r="BB31" s="158">
        <f t="shared" si="32"/>
        <v>2.0491115530058491E-2</v>
      </c>
      <c r="BC31" s="157">
        <f t="shared" si="75"/>
        <v>62.012291755579234</v>
      </c>
      <c r="BD31" s="159">
        <f t="shared" si="33"/>
        <v>2.2882535657808737E-2</v>
      </c>
      <c r="BE31" s="24">
        <f t="shared" si="34"/>
        <v>1.1501176863459431E-2</v>
      </c>
      <c r="BF31" s="27">
        <f t="shared" si="35"/>
        <v>3.8577844044668429E-2</v>
      </c>
      <c r="BG31" s="24">
        <f t="shared" si="36"/>
        <v>8.0579089006279261E-2</v>
      </c>
      <c r="BH31" s="61">
        <f t="shared" si="37"/>
        <v>0.10604847921392352</v>
      </c>
      <c r="BI31" s="24">
        <f t="shared" si="38"/>
        <v>8.0579089006279261E-2</v>
      </c>
      <c r="BJ31" s="27">
        <f t="shared" si="39"/>
        <v>0.10604847921392352</v>
      </c>
      <c r="BK31" s="24">
        <f t="shared" si="40"/>
        <v>0</v>
      </c>
      <c r="BL31" s="27">
        <f t="shared" si="41"/>
        <v>0</v>
      </c>
      <c r="BM31" s="24">
        <f t="shared" si="42"/>
        <v>0</v>
      </c>
      <c r="BN31" s="27">
        <f t="shared" si="43"/>
        <v>0</v>
      </c>
      <c r="BO31" s="24">
        <f t="shared" si="44"/>
        <v>0</v>
      </c>
      <c r="BP31" s="27">
        <f t="shared" si="45"/>
        <v>0</v>
      </c>
      <c r="BQ31" s="147">
        <f t="shared" si="46"/>
        <v>0</v>
      </c>
      <c r="BR31" s="27">
        <f t="shared" si="47"/>
        <v>0</v>
      </c>
      <c r="BS31" s="91">
        <f t="shared" si="76"/>
        <v>0.42333415734853341</v>
      </c>
      <c r="BT31" s="101">
        <f t="shared" si="77"/>
        <v>0.42333415734853341</v>
      </c>
      <c r="BU31" s="206">
        <f t="shared" si="78"/>
        <v>0.42333415734853341</v>
      </c>
      <c r="BV31" s="97">
        <f t="shared" si="79"/>
        <v>0.44382527287859191</v>
      </c>
      <c r="BW31" s="123">
        <f t="shared" si="80"/>
        <v>0.44621669300634215</v>
      </c>
      <c r="BX31" s="91">
        <f t="shared" si="81"/>
        <v>2.3909752320160006E-3</v>
      </c>
      <c r="BY31" s="92">
        <f t="shared" si="48"/>
        <v>5.0000000000000001E-3</v>
      </c>
      <c r="BZ31" s="233">
        <f t="shared" si="49"/>
        <v>5.0000000000000001E-3</v>
      </c>
      <c r="CA31" s="92">
        <f t="shared" si="50"/>
        <v>0</v>
      </c>
      <c r="CB31" s="92">
        <f t="shared" si="51"/>
        <v>0</v>
      </c>
      <c r="CC31" s="92">
        <f t="shared" si="52"/>
        <v>0</v>
      </c>
      <c r="CD31" s="92">
        <f t="shared" si="53"/>
        <v>0</v>
      </c>
      <c r="CE31" s="127">
        <f t="shared" si="82"/>
        <v>1.2390975232016002E-2</v>
      </c>
      <c r="CF31" s="91">
        <f t="shared" si="83"/>
        <v>9.9054688183519996E-3</v>
      </c>
      <c r="CG31" s="92">
        <f t="shared" si="54"/>
        <v>0.14098502994011977</v>
      </c>
      <c r="CH31" s="92">
        <f t="shared" si="55"/>
        <v>6.0157462852073636E-3</v>
      </c>
      <c r="CI31" s="92">
        <f t="shared" si="56"/>
        <v>0.18036000000000002</v>
      </c>
      <c r="CJ31" s="93">
        <f t="shared" si="57"/>
        <v>0.09</v>
      </c>
      <c r="CK31" s="127">
        <f t="shared" si="84"/>
        <v>0.42726624504367916</v>
      </c>
      <c r="CL31" s="91">
        <f t="shared" si="58"/>
        <v>0.15</v>
      </c>
      <c r="CM31" s="92">
        <f t="shared" si="59"/>
        <v>0.15</v>
      </c>
      <c r="CN31" s="92">
        <f t="shared" si="60"/>
        <v>0</v>
      </c>
      <c r="CO31" s="92">
        <f t="shared" si="61"/>
        <v>0</v>
      </c>
      <c r="CP31" s="92">
        <f t="shared" si="62"/>
        <v>0</v>
      </c>
      <c r="CQ31" s="92">
        <f t="shared" si="63"/>
        <v>0</v>
      </c>
      <c r="CR31" s="127">
        <f t="shared" si="85"/>
        <v>0.3</v>
      </c>
      <c r="CS31" s="92">
        <f t="shared" si="86"/>
        <v>0.73965722027569514</v>
      </c>
      <c r="CT31" s="92">
        <f t="shared" si="64"/>
        <v>5.7396572202756948</v>
      </c>
      <c r="CU31" s="93">
        <f t="shared" si="65"/>
        <v>0.87113216140106597</v>
      </c>
      <c r="CV31">
        <f t="shared" si="87"/>
        <v>30.060000000000002</v>
      </c>
    </row>
    <row r="32" spans="1:100" ht="15.75" thickBot="1" x14ac:dyDescent="0.3">
      <c r="A32" s="12" t="s">
        <v>121</v>
      </c>
      <c r="B32" s="12">
        <f>VLOOKUP(ILrms_Total_Max_FBB,U4:AU54,6,FALSE)</f>
        <v>0.70791488283670267</v>
      </c>
      <c r="C32" s="12" t="s">
        <v>6</v>
      </c>
      <c r="K32">
        <v>28</v>
      </c>
      <c r="L32" s="91">
        <f t="shared" si="0"/>
        <v>30.84</v>
      </c>
      <c r="M32" s="93">
        <f t="shared" si="1"/>
        <v>0.1801412307248883</v>
      </c>
      <c r="N32" s="122">
        <f t="shared" si="66"/>
        <v>1.6179080780955144E-4</v>
      </c>
      <c r="O32" s="97">
        <f t="shared" si="67"/>
        <v>1.4561172702859629E-4</v>
      </c>
      <c r="P32" s="123">
        <f t="shared" si="68"/>
        <v>1.3237429729872388E-4</v>
      </c>
      <c r="Q32" s="127">
        <f t="shared" si="69"/>
        <v>0.2259036144578313</v>
      </c>
      <c r="R32" s="91">
        <f t="shared" si="70"/>
        <v>0.79742518134217233</v>
      </c>
      <c r="S32" s="92">
        <f t="shared" si="2"/>
        <v>0.1601578728707935</v>
      </c>
      <c r="T32" s="92">
        <f t="shared" si="71"/>
        <v>0.87750411777756909</v>
      </c>
      <c r="U32" s="92">
        <f t="shared" si="3"/>
        <v>1.0534802409554054</v>
      </c>
      <c r="V32" s="118">
        <f t="shared" si="72"/>
        <v>0.37964724784914311</v>
      </c>
      <c r="W32" s="103">
        <f t="shared" si="73"/>
        <v>0.33418732739640394</v>
      </c>
      <c r="X32" s="117">
        <f t="shared" si="4"/>
        <v>0.64591439688715946</v>
      </c>
      <c r="Y32" s="103">
        <f t="shared" si="5"/>
        <v>0.25647509386670092</v>
      </c>
      <c r="Z32" s="103">
        <f t="shared" si="6"/>
        <v>0.5720144253873195</v>
      </c>
      <c r="AA32" s="118">
        <f t="shared" si="7"/>
        <v>0.40890757892964391</v>
      </c>
      <c r="AB32" s="117">
        <f t="shared" si="8"/>
        <v>0.64591439688715946</v>
      </c>
      <c r="AC32" s="103">
        <f t="shared" si="9"/>
        <v>0.25647509386670092</v>
      </c>
      <c r="AD32" s="103">
        <f t="shared" si="10"/>
        <v>0.5720144253873195</v>
      </c>
      <c r="AE32" s="118">
        <f t="shared" si="11"/>
        <v>0.27784978468803118</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163">
        <f t="shared" si="28"/>
        <v>4.4590805618788511E-2</v>
      </c>
      <c r="AW32" s="143">
        <f t="shared" si="74"/>
        <v>0</v>
      </c>
      <c r="AX32" s="154">
        <f t="shared" si="29"/>
        <v>0</v>
      </c>
      <c r="AY32" s="155">
        <v>28</v>
      </c>
      <c r="AZ32" s="156">
        <f t="shared" si="30"/>
        <v>0</v>
      </c>
      <c r="BA32" s="157">
        <f t="shared" si="31"/>
        <v>56.401560483067826</v>
      </c>
      <c r="BB32" s="158">
        <f t="shared" si="32"/>
        <v>2.0812175818252027E-2</v>
      </c>
      <c r="BC32" s="157">
        <f t="shared" si="75"/>
        <v>62.91033609176236</v>
      </c>
      <c r="BD32" s="159">
        <f t="shared" si="33"/>
        <v>2.3213914017860313E-2</v>
      </c>
      <c r="BE32" s="24">
        <f t="shared" si="34"/>
        <v>1.0926762304899322E-2</v>
      </c>
      <c r="BF32" s="27">
        <f t="shared" si="35"/>
        <v>3.7604965882971367E-2</v>
      </c>
      <c r="BG32" s="24">
        <f t="shared" si="36"/>
        <v>8.0579089006279261E-2</v>
      </c>
      <c r="BH32" s="61">
        <f t="shared" si="37"/>
        <v>0.10546207376857997</v>
      </c>
      <c r="BI32" s="24">
        <f t="shared" si="38"/>
        <v>8.0579089006279261E-2</v>
      </c>
      <c r="BJ32" s="27">
        <f t="shared" si="39"/>
        <v>0.10546207376857997</v>
      </c>
      <c r="BK32" s="24">
        <f t="shared" si="40"/>
        <v>0</v>
      </c>
      <c r="BL32" s="27">
        <f t="shared" si="41"/>
        <v>0</v>
      </c>
      <c r="BM32" s="24">
        <f t="shared" si="42"/>
        <v>0</v>
      </c>
      <c r="BN32" s="27">
        <f t="shared" si="43"/>
        <v>0</v>
      </c>
      <c r="BO32" s="24">
        <f t="shared" si="44"/>
        <v>0</v>
      </c>
      <c r="BP32" s="27">
        <f t="shared" si="45"/>
        <v>0</v>
      </c>
      <c r="BQ32" s="147">
        <f t="shared" si="46"/>
        <v>0</v>
      </c>
      <c r="BR32" s="27">
        <f t="shared" si="47"/>
        <v>0</v>
      </c>
      <c r="BS32" s="91">
        <f t="shared" si="76"/>
        <v>0.42061405373758914</v>
      </c>
      <c r="BT32" s="101">
        <f t="shared" si="77"/>
        <v>0.42061405373758914</v>
      </c>
      <c r="BU32" s="206">
        <f t="shared" si="78"/>
        <v>0.42061405373758914</v>
      </c>
      <c r="BV32" s="97">
        <f t="shared" si="79"/>
        <v>0.44142622955584115</v>
      </c>
      <c r="BW32" s="123">
        <f t="shared" si="80"/>
        <v>0.44382796775544947</v>
      </c>
      <c r="BX32" s="91">
        <f t="shared" si="81"/>
        <v>2.2715604104954208E-3</v>
      </c>
      <c r="BY32" s="92">
        <f t="shared" si="48"/>
        <v>5.0000000000000001E-3</v>
      </c>
      <c r="BZ32" s="233">
        <f t="shared" si="49"/>
        <v>5.0000000000000001E-3</v>
      </c>
      <c r="CA32" s="92">
        <f t="shared" si="50"/>
        <v>0</v>
      </c>
      <c r="CB32" s="92">
        <f t="shared" si="51"/>
        <v>0</v>
      </c>
      <c r="CC32" s="92">
        <f t="shared" si="52"/>
        <v>0</v>
      </c>
      <c r="CD32" s="92">
        <f t="shared" si="53"/>
        <v>0</v>
      </c>
      <c r="CE32" s="127">
        <f t="shared" si="82"/>
        <v>1.227156041049542E-2</v>
      </c>
      <c r="CF32" s="91">
        <f t="shared" si="83"/>
        <v>9.4107502720524559E-3</v>
      </c>
      <c r="CG32" s="92">
        <f t="shared" si="54"/>
        <v>0.14296238651102469</v>
      </c>
      <c r="CH32" s="92">
        <f t="shared" si="55"/>
        <v>5.980688860066293E-3</v>
      </c>
      <c r="CI32" s="92">
        <f t="shared" si="56"/>
        <v>0.18503999999999998</v>
      </c>
      <c r="CJ32" s="93">
        <f t="shared" si="57"/>
        <v>0.09</v>
      </c>
      <c r="CK32" s="127">
        <f t="shared" si="84"/>
        <v>0.43339382564314344</v>
      </c>
      <c r="CL32" s="91">
        <f t="shared" si="58"/>
        <v>0.15</v>
      </c>
      <c r="CM32" s="92">
        <f t="shared" si="59"/>
        <v>0.15</v>
      </c>
      <c r="CN32" s="92">
        <f t="shared" si="60"/>
        <v>0</v>
      </c>
      <c r="CO32" s="92">
        <f t="shared" si="61"/>
        <v>0</v>
      </c>
      <c r="CP32" s="92">
        <f t="shared" si="62"/>
        <v>0</v>
      </c>
      <c r="CQ32" s="92">
        <f t="shared" si="63"/>
        <v>0</v>
      </c>
      <c r="CR32" s="127">
        <f t="shared" si="85"/>
        <v>0.3</v>
      </c>
      <c r="CS32" s="92">
        <f t="shared" si="86"/>
        <v>0.74566538605363875</v>
      </c>
      <c r="CT32" s="92">
        <f t="shared" si="64"/>
        <v>5.7456653860536386</v>
      </c>
      <c r="CU32" s="93">
        <f t="shared" si="65"/>
        <v>0.87022123010094177</v>
      </c>
      <c r="CV32">
        <f t="shared" si="87"/>
        <v>30.84</v>
      </c>
    </row>
    <row r="33" spans="1:100" ht="15.75" thickBot="1" x14ac:dyDescent="0.3">
      <c r="A33" s="12" t="s">
        <v>122</v>
      </c>
      <c r="B33" s="12">
        <f>VLOOKUP(ILrms_Total_Max_FBB,U4:AU54,10,FALSE)</f>
        <v>0.70791488283670267</v>
      </c>
      <c r="C33" s="12" t="s">
        <v>6</v>
      </c>
      <c r="K33">
        <v>29</v>
      </c>
      <c r="L33" s="91">
        <f t="shared" si="0"/>
        <v>31.62</v>
      </c>
      <c r="M33" s="93">
        <f t="shared" si="1"/>
        <v>0.17569751915102957</v>
      </c>
      <c r="N33" s="122">
        <f t="shared" si="66"/>
        <v>1.6360917594129978E-4</v>
      </c>
      <c r="O33" s="97">
        <f t="shared" si="67"/>
        <v>1.4724825834716983E-4</v>
      </c>
      <c r="P33" s="123">
        <f t="shared" si="68"/>
        <v>1.3386205304288164E-4</v>
      </c>
      <c r="Q33" s="127">
        <f t="shared" si="69"/>
        <v>0.22156573116691283</v>
      </c>
      <c r="R33" s="91">
        <f t="shared" si="70"/>
        <v>0.79298146976831352</v>
      </c>
      <c r="S33" s="92">
        <f t="shared" si="2"/>
        <v>0.1610553659654663</v>
      </c>
      <c r="T33" s="92">
        <f t="shared" si="71"/>
        <v>0.87350915275104668</v>
      </c>
      <c r="U33" s="92">
        <f t="shared" si="3"/>
        <v>1.0459548325682204</v>
      </c>
      <c r="V33" s="118">
        <f t="shared" si="72"/>
        <v>0.37390347235702875</v>
      </c>
      <c r="W33" s="103">
        <f t="shared" si="73"/>
        <v>0.33005179654838568</v>
      </c>
      <c r="X33" s="117">
        <f t="shared" si="4"/>
        <v>0.64231499051233398</v>
      </c>
      <c r="Y33" s="103">
        <f t="shared" si="5"/>
        <v>0.25791232964896316</v>
      </c>
      <c r="Z33" s="103">
        <f t="shared" si="6"/>
        <v>0.57050200357486569</v>
      </c>
      <c r="AA33" s="118">
        <f t="shared" si="7"/>
        <v>0.40319790058587818</v>
      </c>
      <c r="AB33" s="117">
        <f t="shared" si="8"/>
        <v>0.64231499051233398</v>
      </c>
      <c r="AC33" s="103">
        <f t="shared" si="9"/>
        <v>0.25791232964896316</v>
      </c>
      <c r="AD33" s="103">
        <f t="shared" si="10"/>
        <v>0.57050200357486569</v>
      </c>
      <c r="AE33" s="118">
        <f t="shared" si="11"/>
        <v>0.27472265302107157</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163">
        <f t="shared" si="28"/>
        <v>4.4840683688541882E-2</v>
      </c>
      <c r="AW33" s="143">
        <f t="shared" si="74"/>
        <v>0</v>
      </c>
      <c r="AX33" s="154">
        <f t="shared" si="29"/>
        <v>0</v>
      </c>
      <c r="AY33" s="155">
        <v>29</v>
      </c>
      <c r="AZ33" s="156">
        <f t="shared" si="30"/>
        <v>0</v>
      </c>
      <c r="BA33" s="157">
        <f t="shared" si="31"/>
        <v>57.246203792283922</v>
      </c>
      <c r="BB33" s="158">
        <f t="shared" si="32"/>
        <v>2.1123849199352764E-2</v>
      </c>
      <c r="BC33" s="157">
        <f t="shared" si="75"/>
        <v>63.781128096246668</v>
      </c>
      <c r="BD33" s="159">
        <f t="shared" si="33"/>
        <v>2.3535236267515022E-2</v>
      </c>
      <c r="BE33" s="24">
        <f t="shared" si="34"/>
        <v>1.0394330062417613E-2</v>
      </c>
      <c r="BF33" s="27">
        <f t="shared" si="35"/>
        <v>3.6680010122287172E-2</v>
      </c>
      <c r="BG33" s="24">
        <f t="shared" si="36"/>
        <v>8.0579089006279261E-2</v>
      </c>
      <c r="BH33" s="61">
        <f t="shared" si="37"/>
        <v>0.10490512181650538</v>
      </c>
      <c r="BI33" s="24">
        <f t="shared" si="38"/>
        <v>8.0579089006279261E-2</v>
      </c>
      <c r="BJ33" s="27">
        <f t="shared" si="39"/>
        <v>0.10490512181650538</v>
      </c>
      <c r="BK33" s="24">
        <f t="shared" si="40"/>
        <v>0</v>
      </c>
      <c r="BL33" s="27">
        <f t="shared" si="41"/>
        <v>0</v>
      </c>
      <c r="BM33" s="24">
        <f t="shared" si="42"/>
        <v>0</v>
      </c>
      <c r="BN33" s="27">
        <f t="shared" si="43"/>
        <v>0</v>
      </c>
      <c r="BO33" s="24">
        <f t="shared" si="44"/>
        <v>0</v>
      </c>
      <c r="BP33" s="27">
        <f t="shared" si="45"/>
        <v>0</v>
      </c>
      <c r="BQ33" s="147">
        <f t="shared" si="46"/>
        <v>0</v>
      </c>
      <c r="BR33" s="27">
        <f t="shared" si="47"/>
        <v>0</v>
      </c>
      <c r="BS33" s="91">
        <f t="shared" si="76"/>
        <v>0.41804276183027411</v>
      </c>
      <c r="BT33" s="101">
        <f t="shared" si="77"/>
        <v>0.41804276183027411</v>
      </c>
      <c r="BU33" s="206">
        <f t="shared" si="78"/>
        <v>0.41804276183027411</v>
      </c>
      <c r="BV33" s="97">
        <f t="shared" si="79"/>
        <v>0.4391666110296269</v>
      </c>
      <c r="BW33" s="123">
        <f t="shared" si="80"/>
        <v>0.44157799809778914</v>
      </c>
      <c r="BX33" s="91">
        <f t="shared" si="81"/>
        <v>2.1608732765078485E-3</v>
      </c>
      <c r="BY33" s="92">
        <f t="shared" si="48"/>
        <v>5.0000000000000001E-3</v>
      </c>
      <c r="BZ33" s="233">
        <f t="shared" si="49"/>
        <v>5.0000000000000001E-3</v>
      </c>
      <c r="CA33" s="92">
        <f t="shared" si="50"/>
        <v>0</v>
      </c>
      <c r="CB33" s="92">
        <f t="shared" si="51"/>
        <v>0</v>
      </c>
      <c r="CC33" s="92">
        <f t="shared" si="52"/>
        <v>0</v>
      </c>
      <c r="CD33" s="92">
        <f t="shared" si="53"/>
        <v>0</v>
      </c>
      <c r="CE33" s="127">
        <f t="shared" si="82"/>
        <v>1.2160873276507849E-2</v>
      </c>
      <c r="CF33" s="91">
        <f t="shared" si="83"/>
        <v>8.9521892883896569E-3</v>
      </c>
      <c r="CG33" s="92">
        <f t="shared" si="54"/>
        <v>0.14494908285895006</v>
      </c>
      <c r="CH33" s="92">
        <f t="shared" si="55"/>
        <v>5.9473610232623521E-3</v>
      </c>
      <c r="CI33" s="92">
        <f t="shared" si="56"/>
        <v>0.18972000000000003</v>
      </c>
      <c r="CJ33" s="93">
        <f t="shared" si="57"/>
        <v>0.09</v>
      </c>
      <c r="CK33" s="127">
        <f t="shared" si="84"/>
        <v>0.43956863317060202</v>
      </c>
      <c r="CL33" s="91">
        <f t="shared" si="58"/>
        <v>0.15</v>
      </c>
      <c r="CM33" s="92">
        <f t="shared" si="59"/>
        <v>0.15</v>
      </c>
      <c r="CN33" s="92">
        <f t="shared" si="60"/>
        <v>0</v>
      </c>
      <c r="CO33" s="92">
        <f t="shared" si="61"/>
        <v>0</v>
      </c>
      <c r="CP33" s="92">
        <f t="shared" si="62"/>
        <v>0</v>
      </c>
      <c r="CQ33" s="92">
        <f t="shared" si="63"/>
        <v>0</v>
      </c>
      <c r="CR33" s="127">
        <f t="shared" si="85"/>
        <v>0.3</v>
      </c>
      <c r="CS33" s="92">
        <f t="shared" si="86"/>
        <v>0.75172950644710979</v>
      </c>
      <c r="CT33" s="92">
        <f t="shared" si="64"/>
        <v>5.7517295064471101</v>
      </c>
      <c r="CU33" s="93">
        <f t="shared" si="65"/>
        <v>0.86930374496844875</v>
      </c>
      <c r="CV33">
        <f t="shared" si="87"/>
        <v>31.62</v>
      </c>
    </row>
    <row r="34" spans="1:100" ht="15.75" thickBot="1" x14ac:dyDescent="0.3">
      <c r="A34" s="12" t="s">
        <v>123</v>
      </c>
      <c r="B34" s="12">
        <f>VLOOKUP(ILrms_Total_Max_FBB,U4:AU54,14,FALSE)</f>
        <v>0</v>
      </c>
      <c r="C34" s="12" t="s">
        <v>6</v>
      </c>
      <c r="K34">
        <v>30</v>
      </c>
      <c r="L34" s="91">
        <f t="shared" si="0"/>
        <v>32.400000000000006</v>
      </c>
      <c r="M34" s="93">
        <f t="shared" si="1"/>
        <v>0.1714677640603566</v>
      </c>
      <c r="N34" s="122">
        <f t="shared" si="66"/>
        <v>1.653686200378072E-4</v>
      </c>
      <c r="O34" s="97">
        <f t="shared" si="67"/>
        <v>1.4883175803402646E-4</v>
      </c>
      <c r="P34" s="123">
        <f t="shared" si="68"/>
        <v>1.3530159821275133E-4</v>
      </c>
      <c r="Q34" s="127">
        <f t="shared" si="69"/>
        <v>0.21739130434782605</v>
      </c>
      <c r="R34" s="91">
        <f t="shared" si="70"/>
        <v>0.78875171467764049</v>
      </c>
      <c r="S34" s="92">
        <f t="shared" si="2"/>
        <v>0.16191904047976013</v>
      </c>
      <c r="T34" s="92">
        <f t="shared" si="71"/>
        <v>0.86971123491752056</v>
      </c>
      <c r="U34" s="92">
        <f t="shared" si="3"/>
        <v>1.0387552425219455</v>
      </c>
      <c r="V34" s="118">
        <f t="shared" si="72"/>
        <v>0.36840256869179394</v>
      </c>
      <c r="W34" s="103">
        <f t="shared" si="73"/>
        <v>0.32606634065302392</v>
      </c>
      <c r="X34" s="117">
        <f t="shared" si="4"/>
        <v>0.63888888888888884</v>
      </c>
      <c r="Y34" s="103">
        <f t="shared" si="5"/>
        <v>0.25929540872058948</v>
      </c>
      <c r="Z34" s="103">
        <f t="shared" si="6"/>
        <v>0.56905999476243763</v>
      </c>
      <c r="AA34" s="118">
        <f t="shared" si="7"/>
        <v>0.39771725175767636</v>
      </c>
      <c r="AB34" s="117">
        <f t="shared" si="8"/>
        <v>0.63888888888888884</v>
      </c>
      <c r="AC34" s="103">
        <f t="shared" si="9"/>
        <v>0.25929540872058948</v>
      </c>
      <c r="AD34" s="103">
        <f t="shared" si="10"/>
        <v>0.56905999476243763</v>
      </c>
      <c r="AE34" s="118">
        <f t="shared" si="11"/>
        <v>0.27171543504009027</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163">
        <f t="shared" si="28"/>
        <v>4.508114606291324E-2</v>
      </c>
      <c r="AW34" s="143">
        <f t="shared" si="74"/>
        <v>0</v>
      </c>
      <c r="AX34" s="154">
        <f t="shared" si="29"/>
        <v>0</v>
      </c>
      <c r="AY34" s="155">
        <v>30</v>
      </c>
      <c r="AZ34" s="156">
        <f t="shared" si="30"/>
        <v>0</v>
      </c>
      <c r="BA34" s="157">
        <f t="shared" si="31"/>
        <v>58.066431127799731</v>
      </c>
      <c r="BB34" s="158">
        <f t="shared" si="32"/>
        <v>2.1426513086158099E-2</v>
      </c>
      <c r="BC34" s="157">
        <f t="shared" si="75"/>
        <v>64.625824044584732</v>
      </c>
      <c r="BD34" s="159">
        <f t="shared" si="33"/>
        <v>2.3846929072451766E-2</v>
      </c>
      <c r="BE34" s="24">
        <f t="shared" si="34"/>
        <v>9.899886467438888E-3</v>
      </c>
      <c r="BF34" s="27">
        <f t="shared" si="35"/>
        <v>3.5799518363630829E-2</v>
      </c>
      <c r="BG34" s="24">
        <f t="shared" si="36"/>
        <v>8.0579089006279261E-2</v>
      </c>
      <c r="BH34" s="61">
        <f t="shared" si="37"/>
        <v>0.10437547274285662</v>
      </c>
      <c r="BI34" s="24">
        <f t="shared" si="38"/>
        <v>8.0579089006279261E-2</v>
      </c>
      <c r="BJ34" s="27">
        <f t="shared" si="39"/>
        <v>0.10437547274285662</v>
      </c>
      <c r="BK34" s="24">
        <f t="shared" si="40"/>
        <v>0</v>
      </c>
      <c r="BL34" s="27">
        <f t="shared" si="41"/>
        <v>0</v>
      </c>
      <c r="BM34" s="24">
        <f t="shared" si="42"/>
        <v>0</v>
      </c>
      <c r="BN34" s="27">
        <f t="shared" si="43"/>
        <v>0</v>
      </c>
      <c r="BO34" s="24">
        <f t="shared" si="44"/>
        <v>0</v>
      </c>
      <c r="BP34" s="27">
        <f t="shared" si="45"/>
        <v>0</v>
      </c>
      <c r="BQ34" s="147">
        <f t="shared" si="46"/>
        <v>0</v>
      </c>
      <c r="BR34" s="27">
        <f t="shared" si="47"/>
        <v>0</v>
      </c>
      <c r="BS34" s="91">
        <f t="shared" si="76"/>
        <v>0.41560852832934148</v>
      </c>
      <c r="BT34" s="101">
        <f t="shared" si="77"/>
        <v>0.41560852832934148</v>
      </c>
      <c r="BU34" s="206">
        <f t="shared" si="78"/>
        <v>0.41560852832934148</v>
      </c>
      <c r="BV34" s="97">
        <f t="shared" si="79"/>
        <v>0.43703504141549959</v>
      </c>
      <c r="BW34" s="123">
        <f t="shared" si="80"/>
        <v>0.43945545740179326</v>
      </c>
      <c r="BX34" s="91">
        <f t="shared" si="81"/>
        <v>2.0580835878300685E-3</v>
      </c>
      <c r="BY34" s="92">
        <f t="shared" si="48"/>
        <v>5.0000000000000001E-3</v>
      </c>
      <c r="BZ34" s="233">
        <f t="shared" si="49"/>
        <v>5.0000000000000001E-3</v>
      </c>
      <c r="CA34" s="92">
        <f t="shared" si="50"/>
        <v>0</v>
      </c>
      <c r="CB34" s="92">
        <f t="shared" si="51"/>
        <v>0</v>
      </c>
      <c r="CC34" s="92">
        <f t="shared" si="52"/>
        <v>0</v>
      </c>
      <c r="CD34" s="92">
        <f t="shared" si="53"/>
        <v>0</v>
      </c>
      <c r="CE34" s="127">
        <f t="shared" si="82"/>
        <v>1.205808358783007E-2</v>
      </c>
      <c r="CF34" s="91">
        <f t="shared" si="83"/>
        <v>8.5263462924388533E-3</v>
      </c>
      <c r="CG34" s="92">
        <f t="shared" si="54"/>
        <v>0.14694444444444446</v>
      </c>
      <c r="CH34" s="92">
        <f t="shared" si="55"/>
        <v>5.9156378600823036E-3</v>
      </c>
      <c r="CI34" s="92">
        <f t="shared" si="56"/>
        <v>0.19440000000000002</v>
      </c>
      <c r="CJ34" s="93">
        <f t="shared" si="57"/>
        <v>0.09</v>
      </c>
      <c r="CK34" s="127">
        <f t="shared" si="84"/>
        <v>0.4457864285969656</v>
      </c>
      <c r="CL34" s="91">
        <f t="shared" si="58"/>
        <v>0.15</v>
      </c>
      <c r="CM34" s="92">
        <f t="shared" si="59"/>
        <v>0.15</v>
      </c>
      <c r="CN34" s="92">
        <f t="shared" si="60"/>
        <v>0</v>
      </c>
      <c r="CO34" s="92">
        <f t="shared" si="61"/>
        <v>0</v>
      </c>
      <c r="CP34" s="92">
        <f t="shared" si="62"/>
        <v>0</v>
      </c>
      <c r="CQ34" s="92">
        <f t="shared" si="63"/>
        <v>0</v>
      </c>
      <c r="CR34" s="127">
        <f t="shared" si="85"/>
        <v>0.3</v>
      </c>
      <c r="CS34" s="92">
        <f t="shared" si="86"/>
        <v>0.75784451218479565</v>
      </c>
      <c r="CT34" s="92">
        <f t="shared" si="64"/>
        <v>5.7578445121847954</v>
      </c>
      <c r="CU34" s="93">
        <f t="shared" si="65"/>
        <v>0.86838051799053639</v>
      </c>
      <c r="CV34">
        <f t="shared" si="87"/>
        <v>32.400000000000006</v>
      </c>
    </row>
    <row r="35" spans="1:100" ht="15.75" thickBot="1" x14ac:dyDescent="0.3">
      <c r="A35" s="12" t="s">
        <v>124</v>
      </c>
      <c r="B35" s="12">
        <f>VLOOKUP(ILrms_Total_Max_FBB,U4:AU54,18,FALSE)</f>
        <v>0</v>
      </c>
      <c r="C35" s="12" t="s">
        <v>6</v>
      </c>
      <c r="K35">
        <v>31</v>
      </c>
      <c r="L35" s="91">
        <f t="shared" si="0"/>
        <v>33.18</v>
      </c>
      <c r="M35" s="93">
        <f t="shared" si="1"/>
        <v>0.16743687629763579</v>
      </c>
      <c r="N35" s="122">
        <f t="shared" si="66"/>
        <v>1.6707188659049105E-4</v>
      </c>
      <c r="O35" s="97">
        <f t="shared" si="67"/>
        <v>1.5036469793144197E-4</v>
      </c>
      <c r="P35" s="123">
        <f t="shared" si="68"/>
        <v>1.3669517993767451E-4</v>
      </c>
      <c r="Q35" s="127">
        <f t="shared" si="69"/>
        <v>0.21337126600284495</v>
      </c>
      <c r="R35" s="91">
        <f t="shared" si="70"/>
        <v>0.78472082691491973</v>
      </c>
      <c r="S35" s="92">
        <f t="shared" si="2"/>
        <v>0.16275077255113551</v>
      </c>
      <c r="T35" s="92">
        <f t="shared" si="71"/>
        <v>0.86609621319048746</v>
      </c>
      <c r="U35" s="92">
        <f t="shared" si="3"/>
        <v>1.0318596259234714</v>
      </c>
      <c r="V35" s="118">
        <f t="shared" si="72"/>
        <v>0.36312832748808815</v>
      </c>
      <c r="W35" s="103">
        <f t="shared" si="73"/>
        <v>0.3222220890627866</v>
      </c>
      <c r="X35" s="117">
        <f t="shared" si="4"/>
        <v>0.63562386980108498</v>
      </c>
      <c r="Y35" s="103">
        <f t="shared" si="5"/>
        <v>0.26062733550791667</v>
      </c>
      <c r="Z35" s="103">
        <f t="shared" si="6"/>
        <v>0.56768361497061393</v>
      </c>
      <c r="AA35" s="118">
        <f t="shared" si="7"/>
        <v>0.39245089356619717</v>
      </c>
      <c r="AB35" s="117">
        <f t="shared" si="8"/>
        <v>0.63562386980108498</v>
      </c>
      <c r="AC35" s="103">
        <f t="shared" si="9"/>
        <v>0.26062733550791667</v>
      </c>
      <c r="AD35" s="103">
        <f t="shared" si="10"/>
        <v>0.56768361497061393</v>
      </c>
      <c r="AE35" s="118">
        <f t="shared" si="11"/>
        <v>0.26882091939821995</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163">
        <f t="shared" si="28"/>
        <v>4.5312715092002021E-2</v>
      </c>
      <c r="AW35" s="143">
        <f t="shared" si="74"/>
        <v>0</v>
      </c>
      <c r="AX35" s="154">
        <f t="shared" si="29"/>
        <v>0</v>
      </c>
      <c r="AY35" s="155">
        <v>31</v>
      </c>
      <c r="AZ35" s="156">
        <f t="shared" si="30"/>
        <v>0</v>
      </c>
      <c r="BA35" s="157">
        <f t="shared" si="31"/>
        <v>58.863217774919853</v>
      </c>
      <c r="BB35" s="158">
        <f t="shared" si="32"/>
        <v>2.1720527358945425E-2</v>
      </c>
      <c r="BC35" s="157">
        <f t="shared" si="75"/>
        <v>65.445521293027596</v>
      </c>
      <c r="BD35" s="159">
        <f t="shared" si="33"/>
        <v>2.4149397357127182E-2</v>
      </c>
      <c r="BE35" s="24">
        <f t="shared" si="34"/>
        <v>9.4399016834206366E-3</v>
      </c>
      <c r="BF35" s="27">
        <f t="shared" si="35"/>
        <v>3.4960357312956887E-2</v>
      </c>
      <c r="BG35" s="24">
        <f t="shared" si="36"/>
        <v>8.0579089006279261E-2</v>
      </c>
      <c r="BH35" s="61">
        <f t="shared" si="37"/>
        <v>0.10387117949468751</v>
      </c>
      <c r="BI35" s="24">
        <f t="shared" si="38"/>
        <v>8.0579089006279261E-2</v>
      </c>
      <c r="BJ35" s="27">
        <f t="shared" si="39"/>
        <v>0.10387117949468751</v>
      </c>
      <c r="BK35" s="24">
        <f t="shared" si="40"/>
        <v>0</v>
      </c>
      <c r="BL35" s="27">
        <f t="shared" si="41"/>
        <v>0</v>
      </c>
      <c r="BM35" s="24">
        <f t="shared" si="42"/>
        <v>0</v>
      </c>
      <c r="BN35" s="27">
        <f t="shared" si="43"/>
        <v>0</v>
      </c>
      <c r="BO35" s="24">
        <f t="shared" si="44"/>
        <v>0</v>
      </c>
      <c r="BP35" s="27">
        <f t="shared" si="45"/>
        <v>0</v>
      </c>
      <c r="BQ35" s="147">
        <f t="shared" si="46"/>
        <v>0</v>
      </c>
      <c r="BR35" s="27">
        <f t="shared" si="47"/>
        <v>0</v>
      </c>
      <c r="BS35" s="91">
        <f t="shared" si="76"/>
        <v>0.41330079599831104</v>
      </c>
      <c r="BT35" s="101">
        <f t="shared" si="77"/>
        <v>0.41330079599831104</v>
      </c>
      <c r="BU35" s="206">
        <f t="shared" si="78"/>
        <v>0.41330079599831104</v>
      </c>
      <c r="BV35" s="97">
        <f t="shared" si="79"/>
        <v>0.43502132335725646</v>
      </c>
      <c r="BW35" s="123">
        <f t="shared" si="80"/>
        <v>0.43745019335543822</v>
      </c>
      <c r="BX35" s="91">
        <f t="shared" si="81"/>
        <v>1.9624575281016856E-3</v>
      </c>
      <c r="BY35" s="92">
        <f t="shared" si="48"/>
        <v>5.0000000000000001E-3</v>
      </c>
      <c r="BZ35" s="233">
        <f t="shared" si="49"/>
        <v>5.0000000000000001E-3</v>
      </c>
      <c r="CA35" s="92">
        <f t="shared" si="50"/>
        <v>0</v>
      </c>
      <c r="CB35" s="92">
        <f t="shared" si="51"/>
        <v>0</v>
      </c>
      <c r="CC35" s="92">
        <f t="shared" si="52"/>
        <v>0</v>
      </c>
      <c r="CD35" s="92">
        <f t="shared" si="53"/>
        <v>0</v>
      </c>
      <c r="CE35" s="127">
        <f t="shared" si="82"/>
        <v>1.1962457528101687E-2</v>
      </c>
      <c r="CF35" s="91">
        <f t="shared" si="83"/>
        <v>8.1301811878498383E-3</v>
      </c>
      <c r="CG35" s="92">
        <f t="shared" si="54"/>
        <v>0.14894786015672096</v>
      </c>
      <c r="CH35" s="92">
        <f t="shared" si="55"/>
        <v>5.885406201861898E-3</v>
      </c>
      <c r="CI35" s="92">
        <f t="shared" si="56"/>
        <v>0.19908000000000001</v>
      </c>
      <c r="CJ35" s="93">
        <f t="shared" si="57"/>
        <v>0.09</v>
      </c>
      <c r="CK35" s="127">
        <f t="shared" si="84"/>
        <v>0.45204344754643266</v>
      </c>
      <c r="CL35" s="91">
        <f t="shared" si="58"/>
        <v>0.15</v>
      </c>
      <c r="CM35" s="92">
        <f t="shared" si="59"/>
        <v>0.15</v>
      </c>
      <c r="CN35" s="92">
        <f t="shared" si="60"/>
        <v>0</v>
      </c>
      <c r="CO35" s="92">
        <f t="shared" si="61"/>
        <v>0</v>
      </c>
      <c r="CP35" s="92">
        <f t="shared" si="62"/>
        <v>0</v>
      </c>
      <c r="CQ35" s="92">
        <f t="shared" si="63"/>
        <v>0</v>
      </c>
      <c r="CR35" s="127">
        <f t="shared" si="85"/>
        <v>0.3</v>
      </c>
      <c r="CS35" s="92">
        <f t="shared" si="86"/>
        <v>0.76400590507453425</v>
      </c>
      <c r="CT35" s="92">
        <f t="shared" si="64"/>
        <v>5.7640059050745345</v>
      </c>
      <c r="CU35" s="93">
        <f t="shared" si="65"/>
        <v>0.86745226884623483</v>
      </c>
      <c r="CV35">
        <f t="shared" si="87"/>
        <v>33.18</v>
      </c>
    </row>
    <row r="36" spans="1:100" ht="15.75" thickBot="1" x14ac:dyDescent="0.3">
      <c r="A36" s="12" t="s">
        <v>126</v>
      </c>
      <c r="B36" s="12">
        <f>VLOOKUP(ILrms_Total_Max_FBB,U4:AU54,22,FALSE)</f>
        <v>0</v>
      </c>
      <c r="C36" s="12" t="s">
        <v>6</v>
      </c>
      <c r="K36">
        <v>32</v>
      </c>
      <c r="L36" s="91">
        <f t="shared" ref="L36:L54" si="88">VinMin+(K36*DC_Step)</f>
        <v>33.96</v>
      </c>
      <c r="M36" s="93">
        <f t="shared" ref="M36:M54" si="89">Pout_FBB/(L36*eff)</f>
        <v>0.16359115299044627</v>
      </c>
      <c r="N36" s="122">
        <f t="shared" si="66"/>
        <v>1.6872155987640835E-4</v>
      </c>
      <c r="O36" s="97">
        <f t="shared" si="67"/>
        <v>1.5184940388876753E-4</v>
      </c>
      <c r="P36" s="123">
        <f t="shared" si="68"/>
        <v>1.3804491262615228E-4</v>
      </c>
      <c r="Q36" s="127">
        <f t="shared" si="69"/>
        <v>0.20949720670391062</v>
      </c>
      <c r="R36" s="91">
        <f t="shared" si="70"/>
        <v>0.78087510360773016</v>
      </c>
      <c r="S36" s="92">
        <f t="shared" ref="S36:S54" si="90">(L36*Q36)/(Lm_FlyBB*Fsw)</f>
        <v>0.16355230206125987</v>
      </c>
      <c r="T36" s="92">
        <f t="shared" si="71"/>
        <v>0.86265125463836012</v>
      </c>
      <c r="U36" s="92">
        <f t="shared" ref="U36:U54" si="91">SUM(V36,(Ns1_FlyBB/Np)*Z36,(Ns2_FlyBB/Np)*AD36,(Ns3_FlyBB/Np)*AH36,(Ns4_FlyBB/Np)*AL36,(Ns5_FlyBB/Np)*AP36,(Ns6_FlyBB/Np)*AT36)</f>
        <v>1.0252480841729072</v>
      </c>
      <c r="V36" s="118">
        <f t="shared" si="72"/>
        <v>0.35806598760436259</v>
      </c>
      <c r="W36" s="103">
        <f t="shared" si="73"/>
        <v>0.31851088857736709</v>
      </c>
      <c r="X36" s="117">
        <f t="shared" ref="X36:X54" si="92">IF(AND(Vout1&lt;&gt;0,Iout1&lt;&gt;0,Ns1_FlyBB&lt;&gt;0),(Iout1/(1-Q36)),0)</f>
        <v>0.63250883392226143</v>
      </c>
      <c r="Y36" s="103">
        <f t="shared" ref="Y36:Y54" si="93">IF(AND(Vout1&lt;&gt;0,Iout1&lt;&gt;0,Ns1_FlyBB&lt;&gt;0),(ABS(Vout1)*(1-Q36))/(((n1_FlyBB/Np)^2)*Lm_FlyBB*Fsw),0)</f>
        <v>0.26191089623872083</v>
      </c>
      <c r="Z36" s="103">
        <f t="shared" ref="Z36:Z54" si="94">IF(AND(Vout1&lt;&gt;0,Iout1&lt;&gt;0,Ns1_FlyB&lt;&gt;0),X36*SQRT(1-Q36)*SQRT(1+((1/3)*((Y36/(2*X36))^2))),0)</f>
        <v>0.56636850302932484</v>
      </c>
      <c r="AA36" s="118">
        <f t="shared" ref="AA36:AA54" si="95">IF(AND(Vout1&lt;&gt;0,Iout1&lt;&gt;0,Ns1_FlyB&lt;&gt;0),SQRT((X36^2)-(Iout1^2)),0)</f>
        <v>0.38738537012863417</v>
      </c>
      <c r="AB36" s="117">
        <f t="shared" ref="AB36:AB54" si="96">IF(AND(Vout2&lt;&gt;0,Iout2&lt;&gt;0,Ns2_FlyBB&lt;&gt;0),(Iout2/(1-Q36)),0)</f>
        <v>0.63250883392226143</v>
      </c>
      <c r="AC36" s="103">
        <f t="shared" ref="AC36:AC54" si="97">IF(AND(Vout2&lt;&gt;0,Iout2&lt;&gt;0,Ns2_FlyBB&lt;&gt;0),(ABS(Vout2)*(1-Q36))/(((n2_FlyBB/Np)^2)*Lm_FlyBB*Fsw),0)</f>
        <v>0.26191089623872083</v>
      </c>
      <c r="AD36" s="103">
        <f t="shared" ref="AD36:AD54" si="98">IF(AND(Vout1&lt;&gt;0,Iout1&lt;&gt;0,Ns1_FlyB&lt;&gt;0),AB36*SQRT(1-Q36)*SQRT(1+((1/3)*((AC36/(2*AB36))^2))),0)</f>
        <v>0.56636850302932484</v>
      </c>
      <c r="AE36" s="118">
        <f t="shared" ref="AE36:AE54" si="99">IF(AND(Vout2&lt;&gt;0,Iout2&lt;&gt;0,Ns2_FlyB&lt;&gt;0),SQRT((AD36^2)-(Iout2^2)),0)</f>
        <v>0.26603248151997966</v>
      </c>
      <c r="AF36" s="117">
        <f t="shared" ref="AF36:AF54" si="100">IF(AND(Vout3&lt;&gt;0,Iout3&lt;&gt;0,Ns3_FlyBB&lt;&gt;0),(Iout3/(1-Q36)),0)</f>
        <v>0</v>
      </c>
      <c r="AG36" s="103">
        <f t="shared" ref="AG36:AG54" si="101">IF(AND(Vout3&lt;&gt;0,Iout3&lt;&gt;0,Ns3_FlyBB&lt;&gt;0),(ABS(Vout3)*(1-Q36))/(((n3_FlyBB/Np)^2)*Lm_FlyBB*Fsw),0)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IF(AND(Vout4&lt;&gt;0,Iout4&lt;&gt;0,Ns4_FlyBB&lt;&gt;0),(Iout4/(1-Q36)),0)</f>
        <v>0</v>
      </c>
      <c r="AK36" s="103">
        <f t="shared" ref="AK36:AK54" si="105">IF(AND(Vout4&lt;&gt;0,Iout4&lt;&gt;0,Ns4_FlyBB&lt;&gt;0),(ABS(Vout4)*(1-Q36))/(((n4_FlyBB/Np)^2)*Lm_FlyBB*Fsw),0)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IF(AND(Vout5&lt;&gt;0,Iout5&lt;&gt;0,Ns5_FlyBB&lt;&gt;0),(Iout5/(1-Q36)),0)</f>
        <v>0</v>
      </c>
      <c r="AO36" s="103">
        <f t="shared" ref="AO36:AO54" si="109">IF(AND(Vout5&lt;&gt;0,Iout5&lt;&gt;0,Ns5_FlyBB&lt;&gt;0),(ABS(Vout5)*(1-Q36))/(((n5_FlyBB/Np)^2)*Lm_FlyBB*Fsw),0)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IF(AND(Vout6&lt;&gt;0,Iout6&lt;&gt;0,Ns6_FlyBB&lt;&gt;0),(Iout6/(1-Q36)),0)</f>
        <v>0</v>
      </c>
      <c r="AS36" s="103">
        <f t="shared" ref="AS36:AS54" si="113">IF(AND(Vout6&lt;&gt;0,Iout6&lt;&gt;0,Ns6_FlyBB&lt;&gt;0),(ABS(Vout6)*(1-Q36))/(((n6_FlyBB/Np)^2)*Lm_FlyBB*Fsw),0)</f>
        <v>0</v>
      </c>
      <c r="AT36" s="103">
        <f t="shared" ref="AT36:AT54" si="114">IF(AND(Vout6&lt;&gt;0,Iout6&lt;&gt;0,Ns6_FlyB&lt;&gt;0),AR36*SQRT(1-Q36)*SQRT(1+((1/3)*((AS36/(2*AR36))^2))),0)</f>
        <v>0</v>
      </c>
      <c r="AU36" s="118">
        <f t="shared" ref="AU36:AU54" si="115">IF(AND(Vout6&lt;&gt;0,Iout6&lt;&gt;0,Ns6_FlyB&lt;&gt;0),SQRT((AT36^2)-(Iout1^2)),0)</f>
        <v>0</v>
      </c>
      <c r="AV36" s="163">
        <f t="shared" ref="AV36:AV54" si="116">(((L36)*Q36)/(2*Np_T_FB*(Ae_FB/100)*Fsw))*(10^4)</f>
        <v>4.5535875189866896E-2</v>
      </c>
      <c r="AW36" s="143">
        <f t="shared" si="74"/>
        <v>0</v>
      </c>
      <c r="AX36" s="154">
        <f t="shared" ref="AX36:AX54" si="117">AW36*(Ve_FBB/1000)</f>
        <v>0</v>
      </c>
      <c r="AY36" s="155">
        <v>32</v>
      </c>
      <c r="AZ36" s="156">
        <f t="shared" ref="AZ36:AZ54" si="118">CM_3F36*(Fsw^x_3F36)*(AV36^y_3F36)*(TC_3F36)*(Ve_FBB/1000)</f>
        <v>0</v>
      </c>
      <c r="BA36" s="157">
        <f t="shared" ref="BA36:BA54" si="119">CM_3C92*(Fsw^x_3C92)*(AV36^y_3C92)*(TC_3C92)/1000</f>
        <v>59.637493488793424</v>
      </c>
      <c r="BB36" s="158">
        <f t="shared" ref="BB36:BB54" si="120">(Ve_FBB/1000)*BA36/1000</f>
        <v>2.2006235097364771E-2</v>
      </c>
      <c r="BC36" s="157">
        <f t="shared" si="75"/>
        <v>66.241261371413813</v>
      </c>
      <c r="BD36" s="159">
        <f t="shared" ref="BD36:BD54" si="121">((Ve_FBB/1000)*BC36)/1000</f>
        <v>2.4443025446051696E-2</v>
      </c>
      <c r="BE36" s="24">
        <f t="shared" ref="BE36:BE54" si="122">(M36^2)*RdcPri_FBB</f>
        <v>9.0112465316871896E-3</v>
      </c>
      <c r="BF36" s="27">
        <f t="shared" ref="BF36:BF54" si="123">(W36^2)*(RacPri_FBB)</f>
        <v>3.4159681447027017E-2</v>
      </c>
      <c r="BG36" s="24">
        <f t="shared" ref="BG36:BG54" si="124">(Iout1^2)*Rdc1_FBB</f>
        <v>8.0579089006279261E-2</v>
      </c>
      <c r="BH36" s="61">
        <f t="shared" ref="BH36:BH54" si="125">(Z36^2)*Rac1_FBB</f>
        <v>0.10339047511423609</v>
      </c>
      <c r="BI36" s="24">
        <f t="shared" ref="BI36:BI54" si="126">(Iout2^2)*Rdc2_FBB</f>
        <v>8.0579089006279261E-2</v>
      </c>
      <c r="BJ36" s="27">
        <f t="shared" ref="BJ36:BJ54" si="127">(AD36^2)*Rac2_FBB</f>
        <v>0.10339047511423609</v>
      </c>
      <c r="BK36" s="24">
        <f t="shared" ref="BK36:BK54" si="128">(Iout3^2)*Rdc3_FBB</f>
        <v>0</v>
      </c>
      <c r="BL36" s="27">
        <f t="shared" ref="BL36:BL54" si="129">(AH36^2)*Rac3_FBB</f>
        <v>0</v>
      </c>
      <c r="BM36" s="24">
        <f t="shared" ref="BM36:BM54" si="130">(Iout4^2)*Rdc4_FBB</f>
        <v>0</v>
      </c>
      <c r="BN36" s="27">
        <f t="shared" ref="BN36:BN54" si="131">(AL36^2)*Rac4_FBB</f>
        <v>0</v>
      </c>
      <c r="BO36" s="24">
        <f t="shared" ref="BO36:BO54" si="132">(Iout5^2)*Rdc5_FBB</f>
        <v>0</v>
      </c>
      <c r="BP36" s="27">
        <f t="shared" ref="BP36:BP54" si="133">(AP36^2)*Rac5_FBB</f>
        <v>0</v>
      </c>
      <c r="BQ36" s="147">
        <f t="shared" ref="BQ36:BQ54" si="134">(Iout6^2)*Rdc6_FBB</f>
        <v>0</v>
      </c>
      <c r="BR36" s="27">
        <f t="shared" ref="BR36:BR54" si="135">(AT36^2)*Rac6_FBB</f>
        <v>0</v>
      </c>
      <c r="BS36" s="91">
        <f t="shared" si="76"/>
        <v>0.41111005621974489</v>
      </c>
      <c r="BT36" s="101">
        <f t="shared" si="77"/>
        <v>0.41111005621974489</v>
      </c>
      <c r="BU36" s="206">
        <f t="shared" si="78"/>
        <v>0.41111005621974489</v>
      </c>
      <c r="BV36" s="97">
        <f t="shared" si="79"/>
        <v>0.43311629131710966</v>
      </c>
      <c r="BW36" s="123">
        <f t="shared" si="80"/>
        <v>0.43555308166579659</v>
      </c>
      <c r="BX36" s="91">
        <f t="shared" si="81"/>
        <v>1.8733445735720519E-3</v>
      </c>
      <c r="BY36" s="92">
        <f t="shared" ref="BY36:BY54" si="136">IF(AND(Vout1&lt;&gt;0,Iout1&lt;&gt;0),(Iout1^2)*($B$79),0)</f>
        <v>5.0000000000000001E-3</v>
      </c>
      <c r="BZ36" s="233">
        <f t="shared" ref="BZ36:BZ54" si="137">IF(AND(Vout2&lt;&gt;0,Iout2&lt;&gt;0),(Iout2^2)*($B$80),0)</f>
        <v>5.0000000000000001E-3</v>
      </c>
      <c r="CA36" s="92">
        <f t="shared" ref="CA36:CA54" si="138">IF(AND(Vout3&lt;&gt;0,Iout3&lt;&gt;0),(Iout3^2)*($B$81),0)</f>
        <v>0</v>
      </c>
      <c r="CB36" s="92">
        <f t="shared" ref="CB36:CB54" si="139">IF(AND(Vout4&lt;&gt;0,Iout4&lt;&gt;0),(Iout4^2)*($B$82),0)</f>
        <v>0</v>
      </c>
      <c r="CC36" s="92">
        <f t="shared" ref="CC36:CC54" si="140">IF(AND(Vout5&lt;&gt;0,Iout5&lt;&gt;0),(Iout5^2)*($B$83),0)</f>
        <v>0</v>
      </c>
      <c r="CD36" s="92">
        <f t="shared" ref="CD36:CD54" si="141">IF(AND(Vout6&lt;&gt;0,Iout6&lt;&gt;0),(Iout6^2)*($B$84),0)</f>
        <v>0</v>
      </c>
      <c r="CE36" s="127">
        <f t="shared" si="82"/>
        <v>1.1873344573572052E-2</v>
      </c>
      <c r="CF36" s="91">
        <f t="shared" si="83"/>
        <v>7.7609989476556422E-3</v>
      </c>
      <c r="CG36" s="92">
        <f t="shared" ref="CG36:CG54" si="142">0.5*(L36+ABS(VoutPri_FBB))*R36*T_Rise_Fall*Fsw</f>
        <v>0.15095877502944643</v>
      </c>
      <c r="CH36" s="92">
        <f t="shared" ref="CH36:CH54" si="143">R36*$B$76*Fsw</f>
        <v>5.8565632770579768E-3</v>
      </c>
      <c r="CI36" s="92">
        <f t="shared" ref="CI36:CI54" si="144">$B$77*L36*Fsw</f>
        <v>0.20376</v>
      </c>
      <c r="CJ36" s="93">
        <f t="shared" ref="CJ36:CJ54" si="145">($B$70*$B$68*Fsw)+($B$72*$B$68*Fsw)</f>
        <v>0.09</v>
      </c>
      <c r="CK36" s="127">
        <f t="shared" si="84"/>
        <v>0.45833633725416001</v>
      </c>
      <c r="CL36" s="91">
        <f t="shared" ref="CL36:CL54" si="146">IF(AND(Vout1&lt;&gt;0,Iout1&lt;&gt;0,Vdiode1&lt;&gt;0),(Vdiode1*Iout1),0)</f>
        <v>0.15</v>
      </c>
      <c r="CM36" s="92">
        <f t="shared" ref="CM36:CM54" si="147">IF(AND(Vout2&lt;&gt;0,Iout2&lt;&gt;0,Vdiode2&lt;&gt;0),(Vdiode2*Iout2),0)</f>
        <v>0.15</v>
      </c>
      <c r="CN36" s="92">
        <f t="shared" ref="CN36:CN54" si="148">IF(AND(Vout3&lt;&gt;0,Iout3&lt;&gt;0,Vdiode3&lt;&gt;0),(Vdiode3*Iout3),0)</f>
        <v>0</v>
      </c>
      <c r="CO36" s="92">
        <f t="shared" ref="CO36:CO54" si="149">IF(AND(Vout4&lt;&gt;0,Iout4&lt;&gt;0,Vdiode4&lt;&gt;0),(Vdiode4*Iout4),0)</f>
        <v>0</v>
      </c>
      <c r="CP36" s="92">
        <f t="shared" ref="CP36:CP54" si="150">IF(AND(Vout5&lt;&gt;0,Iout5&lt;&gt;0,Vdiode5&lt;&gt;0),(Vdiode5*Iout5),0)</f>
        <v>0</v>
      </c>
      <c r="CQ36" s="92">
        <f t="shared" ref="CQ36:CQ54" si="151">IF(AND(Vout6&lt;&gt;0,Iout6&lt;&gt;0,Vdiode6&lt;&gt;0),(Vdiode6*Iout6),0)</f>
        <v>0</v>
      </c>
      <c r="CR36" s="127">
        <f t="shared" si="85"/>
        <v>0.3</v>
      </c>
      <c r="CS36" s="92">
        <f t="shared" si="86"/>
        <v>0.77020968182773208</v>
      </c>
      <c r="CT36" s="92">
        <f t="shared" ref="CT36:CT54" si="152">CS36+Pout_FBB</f>
        <v>5.7702096818277324</v>
      </c>
      <c r="CU36" s="93">
        <f t="shared" ref="CU36:CU54" si="153">Pout_FBB/CT36</f>
        <v>0.8665196371886843</v>
      </c>
      <c r="CV36">
        <f t="shared" si="87"/>
        <v>33.96</v>
      </c>
    </row>
    <row r="37" spans="1:100" ht="15.75" thickBot="1" x14ac:dyDescent="0.3">
      <c r="A37" s="12" t="s">
        <v>125</v>
      </c>
      <c r="B37" s="12">
        <f>VLOOKUP(ILrms_Total_Max_FBB,U4:AU54,26,FALSE)</f>
        <v>0</v>
      </c>
      <c r="C37" s="12" t="s">
        <v>6</v>
      </c>
      <c r="K37">
        <v>33</v>
      </c>
      <c r="L37" s="91">
        <f t="shared" si="88"/>
        <v>34.74</v>
      </c>
      <c r="M37" s="93">
        <f t="shared" si="89"/>
        <v>0.15991812192157615</v>
      </c>
      <c r="N37" s="122">
        <f t="shared" si="66"/>
        <v>1.7032007315957929E-4</v>
      </c>
      <c r="O37" s="97">
        <f t="shared" si="67"/>
        <v>1.5328806584362139E-4</v>
      </c>
      <c r="P37" s="123">
        <f t="shared" si="68"/>
        <v>1.3935278713056489E-4</v>
      </c>
      <c r="Q37" s="127">
        <f t="shared" si="69"/>
        <v>0.20576131687242796</v>
      </c>
      <c r="R37" s="91">
        <f t="shared" si="70"/>
        <v>0.77720207253886009</v>
      </c>
      <c r="S37" s="92">
        <f t="shared" si="90"/>
        <v>0.1643252447850149</v>
      </c>
      <c r="T37" s="92">
        <f t="shared" si="71"/>
        <v>0.85936469493136758</v>
      </c>
      <c r="U37" s="92">
        <f t="shared" si="91"/>
        <v>1.0189024511078129</v>
      </c>
      <c r="V37" s="118">
        <f t="shared" si="72"/>
        <v>0.35320207605436876</v>
      </c>
      <c r="W37" s="103">
        <f t="shared" si="73"/>
        <v>0.31492523050748411</v>
      </c>
      <c r="X37" s="117">
        <f t="shared" si="92"/>
        <v>0.6295336787564767</v>
      </c>
      <c r="Y37" s="103">
        <f t="shared" si="93"/>
        <v>0.26314867839750727</v>
      </c>
      <c r="Z37" s="103">
        <f t="shared" si="94"/>
        <v>0.56511067491803413</v>
      </c>
      <c r="AA37" s="118">
        <f t="shared" si="95"/>
        <v>0.38250836943609845</v>
      </c>
      <c r="AB37" s="117">
        <f t="shared" si="96"/>
        <v>0.6295336787564767</v>
      </c>
      <c r="AC37" s="103">
        <f t="shared" si="97"/>
        <v>0.26314867839750727</v>
      </c>
      <c r="AD37" s="103">
        <f t="shared" si="98"/>
        <v>0.56511067491803413</v>
      </c>
      <c r="AE37" s="118">
        <f t="shared" si="99"/>
        <v>0.2633440238667209</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163">
        <f t="shared" si="116"/>
        <v>4.5751076217026038E-2</v>
      </c>
      <c r="AW37" s="143">
        <f t="shared" si="74"/>
        <v>0</v>
      </c>
      <c r="AX37" s="154">
        <f t="shared" si="117"/>
        <v>0</v>
      </c>
      <c r="AY37" s="155">
        <v>33</v>
      </c>
      <c r="AZ37" s="156">
        <f t="shared" si="118"/>
        <v>0</v>
      </c>
      <c r="BA37" s="157">
        <f t="shared" si="119"/>
        <v>60.390144491621491</v>
      </c>
      <c r="BB37" s="158">
        <f t="shared" si="120"/>
        <v>2.2283963317408329E-2</v>
      </c>
      <c r="BC37" s="157">
        <f t="shared" si="75"/>
        <v>67.014032969785248</v>
      </c>
      <c r="BD37" s="159">
        <f t="shared" si="121"/>
        <v>2.4728178165850757E-2</v>
      </c>
      <c r="BE37" s="24">
        <f t="shared" si="122"/>
        <v>8.6111391324604734E-3</v>
      </c>
      <c r="BF37" s="27">
        <f t="shared" si="123"/>
        <v>3.3394900709281583E-2</v>
      </c>
      <c r="BG37" s="24">
        <f t="shared" si="124"/>
        <v>8.0579089006279261E-2</v>
      </c>
      <c r="BH37" s="61">
        <f t="shared" si="125"/>
        <v>0.10293175244015196</v>
      </c>
      <c r="BI37" s="24">
        <f t="shared" si="126"/>
        <v>8.0579089006279261E-2</v>
      </c>
      <c r="BJ37" s="27">
        <f t="shared" si="127"/>
        <v>0.10293175244015196</v>
      </c>
      <c r="BK37" s="24">
        <f t="shared" si="128"/>
        <v>0</v>
      </c>
      <c r="BL37" s="27">
        <f t="shared" si="129"/>
        <v>0</v>
      </c>
      <c r="BM37" s="24">
        <f t="shared" si="130"/>
        <v>0</v>
      </c>
      <c r="BN37" s="27">
        <f t="shared" si="131"/>
        <v>0</v>
      </c>
      <c r="BO37" s="24">
        <f t="shared" si="132"/>
        <v>0</v>
      </c>
      <c r="BP37" s="27">
        <f t="shared" si="133"/>
        <v>0</v>
      </c>
      <c r="BQ37" s="147">
        <f t="shared" si="134"/>
        <v>0</v>
      </c>
      <c r="BR37" s="27">
        <f t="shared" si="135"/>
        <v>0</v>
      </c>
      <c r="BS37" s="91">
        <f t="shared" si="76"/>
        <v>0.40902772273460447</v>
      </c>
      <c r="BT37" s="101">
        <f t="shared" si="77"/>
        <v>0.40902772273460447</v>
      </c>
      <c r="BU37" s="206">
        <f t="shared" si="78"/>
        <v>0.40902772273460447</v>
      </c>
      <c r="BV37" s="97">
        <f t="shared" si="79"/>
        <v>0.43131168605201281</v>
      </c>
      <c r="BW37" s="123">
        <f t="shared" si="80"/>
        <v>0.43375590090045524</v>
      </c>
      <c r="BX37" s="91">
        <f t="shared" si="81"/>
        <v>1.7901664003246865E-3</v>
      </c>
      <c r="BY37" s="92">
        <f t="shared" si="136"/>
        <v>5.0000000000000001E-3</v>
      </c>
      <c r="BZ37" s="233">
        <f t="shared" si="137"/>
        <v>5.0000000000000001E-3</v>
      </c>
      <c r="CA37" s="92">
        <f t="shared" si="138"/>
        <v>0</v>
      </c>
      <c r="CB37" s="92">
        <f t="shared" si="139"/>
        <v>0</v>
      </c>
      <c r="CC37" s="92">
        <f t="shared" si="140"/>
        <v>0</v>
      </c>
      <c r="CD37" s="92">
        <f t="shared" si="141"/>
        <v>0</v>
      </c>
      <c r="CE37" s="127">
        <f t="shared" si="82"/>
        <v>1.1790166400324688E-2</v>
      </c>
      <c r="CF37" s="91">
        <f t="shared" si="83"/>
        <v>7.4164036584879857E-3</v>
      </c>
      <c r="CG37" s="92">
        <f t="shared" si="142"/>
        <v>0.15297668393782385</v>
      </c>
      <c r="CH37" s="92">
        <f t="shared" si="143"/>
        <v>5.8290155440414507E-3</v>
      </c>
      <c r="CI37" s="92">
        <f t="shared" si="144"/>
        <v>0.20844000000000004</v>
      </c>
      <c r="CJ37" s="93">
        <f t="shared" si="145"/>
        <v>0.09</v>
      </c>
      <c r="CK37" s="127">
        <f t="shared" si="84"/>
        <v>0.46466210314035328</v>
      </c>
      <c r="CL37" s="91">
        <f t="shared" si="146"/>
        <v>0.15</v>
      </c>
      <c r="CM37" s="92">
        <f t="shared" si="147"/>
        <v>0.15</v>
      </c>
      <c r="CN37" s="92">
        <f t="shared" si="148"/>
        <v>0</v>
      </c>
      <c r="CO37" s="92">
        <f t="shared" si="149"/>
        <v>0</v>
      </c>
      <c r="CP37" s="92">
        <f t="shared" si="150"/>
        <v>0</v>
      </c>
      <c r="CQ37" s="92">
        <f t="shared" si="151"/>
        <v>0</v>
      </c>
      <c r="CR37" s="127">
        <f t="shared" si="85"/>
        <v>0.3</v>
      </c>
      <c r="CS37" s="92">
        <f t="shared" si="86"/>
        <v>0.77645226954067803</v>
      </c>
      <c r="CT37" s="92">
        <f t="shared" si="152"/>
        <v>5.7764522695406777</v>
      </c>
      <c r="CU37" s="93">
        <f t="shared" si="153"/>
        <v>0.86558319305520404</v>
      </c>
      <c r="CV37">
        <f t="shared" si="87"/>
        <v>34.74</v>
      </c>
    </row>
    <row r="38" spans="1:100" ht="15.75" thickBot="1" x14ac:dyDescent="0.3">
      <c r="A38" s="310" t="s">
        <v>296</v>
      </c>
      <c r="B38" s="310"/>
      <c r="C38" s="310"/>
      <c r="K38">
        <v>34</v>
      </c>
      <c r="L38" s="91">
        <f t="shared" si="88"/>
        <v>35.519999999999996</v>
      </c>
      <c r="M38" s="93">
        <f t="shared" si="89"/>
        <v>0.15640640640640643</v>
      </c>
      <c r="N38" s="122">
        <f t="shared" si="66"/>
        <v>1.7186971905173602E-4</v>
      </c>
      <c r="O38" s="97">
        <f t="shared" si="67"/>
        <v>1.5468274714656243E-4</v>
      </c>
      <c r="P38" s="123">
        <f t="shared" si="68"/>
        <v>1.4062067922414762E-4</v>
      </c>
      <c r="Q38" s="127">
        <f t="shared" si="69"/>
        <v>0.20215633423180596</v>
      </c>
      <c r="R38" s="91">
        <f t="shared" si="70"/>
        <v>0.77369035702369038</v>
      </c>
      <c r="S38" s="92">
        <f t="shared" si="90"/>
        <v>0.16507110326238497</v>
      </c>
      <c r="T38" s="92">
        <f t="shared" si="71"/>
        <v>0.85622590865488291</v>
      </c>
      <c r="U38" s="92">
        <f t="shared" si="91"/>
        <v>1.0128061068655703</v>
      </c>
      <c r="V38" s="118">
        <f t="shared" si="72"/>
        <v>0.34852426883379617</v>
      </c>
      <c r="W38" s="103">
        <f t="shared" si="73"/>
        <v>0.31145818660161473</v>
      </c>
      <c r="X38" s="117">
        <f t="shared" si="92"/>
        <v>0.62668918918918926</v>
      </c>
      <c r="Y38" s="103">
        <f t="shared" si="93"/>
        <v>0.26434308813563534</v>
      </c>
      <c r="Z38" s="103">
        <f t="shared" si="94"/>
        <v>0.56390648389794074</v>
      </c>
      <c r="AA38" s="118">
        <f t="shared" si="95"/>
        <v>0.37780860213420686</v>
      </c>
      <c r="AB38" s="117">
        <f t="shared" si="96"/>
        <v>0.62668918918918926</v>
      </c>
      <c r="AC38" s="103">
        <f t="shared" si="97"/>
        <v>0.26434308813563534</v>
      </c>
      <c r="AD38" s="103">
        <f t="shared" si="98"/>
        <v>0.56390648389794074</v>
      </c>
      <c r="AE38" s="118">
        <f t="shared" si="99"/>
        <v>0.26074992345567144</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163">
        <f t="shared" si="116"/>
        <v>4.5958736507384454E-2</v>
      </c>
      <c r="AW38" s="143">
        <f t="shared" si="74"/>
        <v>0</v>
      </c>
      <c r="AX38" s="154">
        <f t="shared" si="117"/>
        <v>0</v>
      </c>
      <c r="AY38" s="155">
        <v>34</v>
      </c>
      <c r="AZ38" s="156">
        <f t="shared" si="118"/>
        <v>0</v>
      </c>
      <c r="BA38" s="157">
        <f t="shared" si="119"/>
        <v>61.122015456996159</v>
      </c>
      <c r="BB38" s="158">
        <f t="shared" si="120"/>
        <v>2.2554023703631583E-2</v>
      </c>
      <c r="BC38" s="157">
        <f t="shared" si="75"/>
        <v>67.764774806221126</v>
      </c>
      <c r="BD38" s="159">
        <f t="shared" si="121"/>
        <v>2.5005201903495596E-2</v>
      </c>
      <c r="BE38" s="24">
        <f t="shared" si="122"/>
        <v>8.2370996561848941E-3</v>
      </c>
      <c r="BF38" s="27">
        <f t="shared" si="123"/>
        <v>3.26636524623896E-2</v>
      </c>
      <c r="BG38" s="24">
        <f t="shared" si="124"/>
        <v>8.0579089006279261E-2</v>
      </c>
      <c r="BH38" s="61">
        <f t="shared" si="125"/>
        <v>0.10249354648919758</v>
      </c>
      <c r="BI38" s="24">
        <f t="shared" si="126"/>
        <v>8.0579089006279261E-2</v>
      </c>
      <c r="BJ38" s="27">
        <f t="shared" si="127"/>
        <v>0.10249354648919758</v>
      </c>
      <c r="BK38" s="24">
        <f t="shared" si="128"/>
        <v>0</v>
      </c>
      <c r="BL38" s="27">
        <f t="shared" si="129"/>
        <v>0</v>
      </c>
      <c r="BM38" s="24">
        <f t="shared" si="130"/>
        <v>0</v>
      </c>
      <c r="BN38" s="27">
        <f t="shared" si="131"/>
        <v>0</v>
      </c>
      <c r="BO38" s="24">
        <f t="shared" si="132"/>
        <v>0</v>
      </c>
      <c r="BP38" s="27">
        <f t="shared" si="133"/>
        <v>0</v>
      </c>
      <c r="BQ38" s="147">
        <f t="shared" si="134"/>
        <v>0</v>
      </c>
      <c r="BR38" s="27">
        <f t="shared" si="135"/>
        <v>0</v>
      </c>
      <c r="BS38" s="91">
        <f t="shared" si="76"/>
        <v>0.40704602310952814</v>
      </c>
      <c r="BT38" s="101">
        <f t="shared" si="77"/>
        <v>0.40704602310952814</v>
      </c>
      <c r="BU38" s="206">
        <f t="shared" si="78"/>
        <v>0.40704602310952814</v>
      </c>
      <c r="BV38" s="97">
        <f t="shared" si="79"/>
        <v>0.42960004681315972</v>
      </c>
      <c r="BW38" s="123">
        <f t="shared" si="80"/>
        <v>0.43205122501302373</v>
      </c>
      <c r="BX38" s="91">
        <f t="shared" si="81"/>
        <v>1.7124074775476184E-3</v>
      </c>
      <c r="BY38" s="92">
        <f t="shared" si="136"/>
        <v>5.0000000000000001E-3</v>
      </c>
      <c r="BZ38" s="233">
        <f t="shared" si="137"/>
        <v>5.0000000000000001E-3</v>
      </c>
      <c r="CA38" s="92">
        <f t="shared" si="138"/>
        <v>0</v>
      </c>
      <c r="CB38" s="92">
        <f t="shared" si="139"/>
        <v>0</v>
      </c>
      <c r="CC38" s="92">
        <f t="shared" si="140"/>
        <v>0</v>
      </c>
      <c r="CD38" s="92">
        <f t="shared" si="141"/>
        <v>0</v>
      </c>
      <c r="CE38" s="127">
        <f t="shared" si="82"/>
        <v>1.1712407477547619E-2</v>
      </c>
      <c r="CF38" s="91">
        <f t="shared" si="83"/>
        <v>7.094259549840133E-3</v>
      </c>
      <c r="CG38" s="92">
        <f t="shared" si="142"/>
        <v>0.15500112612612613</v>
      </c>
      <c r="CH38" s="92">
        <f t="shared" si="143"/>
        <v>5.8026776776776779E-3</v>
      </c>
      <c r="CI38" s="92">
        <f t="shared" si="144"/>
        <v>0.21311999999999998</v>
      </c>
      <c r="CJ38" s="93">
        <f t="shared" si="145"/>
        <v>0.09</v>
      </c>
      <c r="CK38" s="127">
        <f t="shared" si="84"/>
        <v>0.47101806335364393</v>
      </c>
      <c r="CL38" s="91">
        <f t="shared" si="146"/>
        <v>0.15</v>
      </c>
      <c r="CM38" s="92">
        <f t="shared" si="147"/>
        <v>0.15</v>
      </c>
      <c r="CN38" s="92">
        <f t="shared" si="148"/>
        <v>0</v>
      </c>
      <c r="CO38" s="92">
        <f t="shared" si="149"/>
        <v>0</v>
      </c>
      <c r="CP38" s="92">
        <f t="shared" si="150"/>
        <v>0</v>
      </c>
      <c r="CQ38" s="92">
        <f t="shared" si="151"/>
        <v>0</v>
      </c>
      <c r="CR38" s="127">
        <f t="shared" si="85"/>
        <v>0.3</v>
      </c>
      <c r="CS38" s="92">
        <f t="shared" si="86"/>
        <v>0.78273047083119152</v>
      </c>
      <c r="CT38" s="92">
        <f t="shared" si="152"/>
        <v>5.7827304708311917</v>
      </c>
      <c r="CU38" s="93">
        <f t="shared" si="153"/>
        <v>0.86464344572527096</v>
      </c>
      <c r="CV38">
        <f t="shared" si="87"/>
        <v>35.519999999999996</v>
      </c>
    </row>
    <row r="39" spans="1:100" ht="15.75" thickBot="1" x14ac:dyDescent="0.3">
      <c r="A39" s="12" t="s">
        <v>427</v>
      </c>
      <c r="B39" s="185">
        <f>(MAX(R4:R54)-IoutPri_FBB)*(B10/(VoutPri_Ripple_FBB*(10^-3)))</f>
        <v>4.1152263374485593E-5</v>
      </c>
      <c r="C39" s="12" t="s">
        <v>351</v>
      </c>
      <c r="K39">
        <v>35</v>
      </c>
      <c r="L39" s="91">
        <f t="shared" si="88"/>
        <v>36.299999999999997</v>
      </c>
      <c r="M39" s="93">
        <f t="shared" si="89"/>
        <v>0.15304560759106212</v>
      </c>
      <c r="N39" s="122">
        <f t="shared" si="66"/>
        <v>1.7337265909389942E-4</v>
      </c>
      <c r="O39" s="97">
        <f t="shared" si="67"/>
        <v>1.5603539318450951E-4</v>
      </c>
      <c r="P39" s="123">
        <f t="shared" si="68"/>
        <v>1.4185035744046317E-4</v>
      </c>
      <c r="Q39" s="127">
        <f t="shared" si="69"/>
        <v>0.19867549668874174</v>
      </c>
      <c r="R39" s="91">
        <f t="shared" si="70"/>
        <v>0.77032955820834592</v>
      </c>
      <c r="S39" s="92">
        <f t="shared" si="90"/>
        <v>0.16579127654715689</v>
      </c>
      <c r="T39" s="92">
        <f t="shared" si="71"/>
        <v>0.85322519648192441</v>
      </c>
      <c r="U39" s="92">
        <f t="shared" si="91"/>
        <v>1.0069438153498047</v>
      </c>
      <c r="V39" s="118">
        <f t="shared" si="72"/>
        <v>0.34402126951737017</v>
      </c>
      <c r="W39" s="103">
        <f t="shared" si="73"/>
        <v>0.30810335259036969</v>
      </c>
      <c r="X39" s="117">
        <f t="shared" si="92"/>
        <v>0.62396694214876036</v>
      </c>
      <c r="Y39" s="103">
        <f t="shared" si="93"/>
        <v>0.26549636588278164</v>
      </c>
      <c r="Z39" s="103">
        <f t="shared" si="94"/>
        <v>0.56275258559629415</v>
      </c>
      <c r="AA39" s="118">
        <f t="shared" si="95"/>
        <v>0.37327569555822204</v>
      </c>
      <c r="AB39" s="117">
        <f t="shared" si="96"/>
        <v>0.62396694214876036</v>
      </c>
      <c r="AC39" s="103">
        <f t="shared" si="97"/>
        <v>0.26549636588278164</v>
      </c>
      <c r="AD39" s="103">
        <f t="shared" si="98"/>
        <v>0.56275258559629415</v>
      </c>
      <c r="AE39" s="118">
        <f t="shared" si="99"/>
        <v>0.25824498561504416</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163">
        <f t="shared" si="116"/>
        <v>4.6159245582445753E-2</v>
      </c>
      <c r="AW39" s="143">
        <f t="shared" si="74"/>
        <v>0</v>
      </c>
      <c r="AX39" s="154">
        <f t="shared" si="117"/>
        <v>0</v>
      </c>
      <c r="AY39" s="155">
        <v>35</v>
      </c>
      <c r="AZ39" s="156">
        <f t="shared" si="118"/>
        <v>0</v>
      </c>
      <c r="BA39" s="157">
        <f t="shared" si="119"/>
        <v>61.83391146147676</v>
      </c>
      <c r="BB39" s="158">
        <f t="shared" si="120"/>
        <v>2.2816713329284925E-2</v>
      </c>
      <c r="BC39" s="157">
        <f t="shared" si="75"/>
        <v>68.494378368353253</v>
      </c>
      <c r="BD39" s="159">
        <f t="shared" si="121"/>
        <v>2.5274425617922352E-2</v>
      </c>
      <c r="BE39" s="24">
        <f t="shared" si="122"/>
        <v>7.8869118063115383E-3</v>
      </c>
      <c r="BF39" s="27">
        <f t="shared" si="123"/>
        <v>3.1963777057113507E-2</v>
      </c>
      <c r="BG39" s="24">
        <f t="shared" si="124"/>
        <v>8.0579089006279261E-2</v>
      </c>
      <c r="BH39" s="61">
        <f t="shared" si="125"/>
        <v>0.10207451911479391</v>
      </c>
      <c r="BI39" s="24">
        <f t="shared" si="126"/>
        <v>8.0579089006279261E-2</v>
      </c>
      <c r="BJ39" s="27">
        <f t="shared" si="127"/>
        <v>0.10207451911479391</v>
      </c>
      <c r="BK39" s="24">
        <f t="shared" si="128"/>
        <v>0</v>
      </c>
      <c r="BL39" s="27">
        <f t="shared" si="129"/>
        <v>0</v>
      </c>
      <c r="BM39" s="24">
        <f t="shared" si="130"/>
        <v>0</v>
      </c>
      <c r="BN39" s="27">
        <f t="shared" si="131"/>
        <v>0</v>
      </c>
      <c r="BO39" s="24">
        <f t="shared" si="132"/>
        <v>0</v>
      </c>
      <c r="BP39" s="27">
        <f t="shared" si="133"/>
        <v>0</v>
      </c>
      <c r="BQ39" s="147">
        <f t="shared" si="134"/>
        <v>0</v>
      </c>
      <c r="BR39" s="27">
        <f t="shared" si="135"/>
        <v>0</v>
      </c>
      <c r="BS39" s="91">
        <f t="shared" si="76"/>
        <v>0.40515790510557143</v>
      </c>
      <c r="BT39" s="101">
        <f t="shared" si="77"/>
        <v>0.40515790510557143</v>
      </c>
      <c r="BU39" s="206">
        <f t="shared" si="78"/>
        <v>0.40515790510557143</v>
      </c>
      <c r="BV39" s="97">
        <f t="shared" si="79"/>
        <v>0.42797461843485635</v>
      </c>
      <c r="BW39" s="123">
        <f t="shared" si="80"/>
        <v>0.43043233072349379</v>
      </c>
      <c r="BX39" s="91">
        <f t="shared" si="81"/>
        <v>1.6396070602042159E-3</v>
      </c>
      <c r="BY39" s="92">
        <f t="shared" si="136"/>
        <v>5.0000000000000001E-3</v>
      </c>
      <c r="BZ39" s="233">
        <f t="shared" si="137"/>
        <v>5.0000000000000001E-3</v>
      </c>
      <c r="CA39" s="92">
        <f t="shared" si="138"/>
        <v>0</v>
      </c>
      <c r="CB39" s="92">
        <f t="shared" si="139"/>
        <v>0</v>
      </c>
      <c r="CC39" s="92">
        <f t="shared" si="140"/>
        <v>0</v>
      </c>
      <c r="CD39" s="92">
        <f t="shared" si="141"/>
        <v>0</v>
      </c>
      <c r="CE39" s="127">
        <f t="shared" si="82"/>
        <v>1.1639607060204216E-2</v>
      </c>
      <c r="CF39" s="91">
        <f t="shared" si="83"/>
        <v>6.7926578208460367E-3</v>
      </c>
      <c r="CG39" s="92">
        <f t="shared" si="142"/>
        <v>0.15703168044077132</v>
      </c>
      <c r="CH39" s="92">
        <f t="shared" si="143"/>
        <v>5.7774716865625951E-3</v>
      </c>
      <c r="CI39" s="92">
        <f t="shared" si="144"/>
        <v>0.21779999999999997</v>
      </c>
      <c r="CJ39" s="93">
        <f t="shared" si="145"/>
        <v>0.09</v>
      </c>
      <c r="CK39" s="127">
        <f t="shared" si="84"/>
        <v>0.47740180994817993</v>
      </c>
      <c r="CL39" s="91">
        <f t="shared" si="146"/>
        <v>0.15</v>
      </c>
      <c r="CM39" s="92">
        <f t="shared" si="147"/>
        <v>0.15</v>
      </c>
      <c r="CN39" s="92">
        <f t="shared" si="148"/>
        <v>0</v>
      </c>
      <c r="CO39" s="92">
        <f t="shared" si="149"/>
        <v>0</v>
      </c>
      <c r="CP39" s="92">
        <f t="shared" si="150"/>
        <v>0</v>
      </c>
      <c r="CQ39" s="92">
        <f t="shared" si="151"/>
        <v>0</v>
      </c>
      <c r="CR39" s="127">
        <f t="shared" si="85"/>
        <v>0.3</v>
      </c>
      <c r="CS39" s="92">
        <f t="shared" si="86"/>
        <v>0.78904141700838404</v>
      </c>
      <c r="CT39" s="92">
        <f t="shared" si="152"/>
        <v>5.7890414170083844</v>
      </c>
      <c r="CU39" s="93">
        <f t="shared" si="153"/>
        <v>0.86370085128599083</v>
      </c>
      <c r="CV39">
        <f t="shared" si="87"/>
        <v>36.299999999999997</v>
      </c>
    </row>
    <row r="40" spans="1:100" ht="15.75" thickBot="1" x14ac:dyDescent="0.3">
      <c r="A40" s="12" t="s">
        <v>426</v>
      </c>
      <c r="B40" s="176">
        <f>COUTPri_FBB</f>
        <v>4.6999999999999997E-5</v>
      </c>
      <c r="C40" s="12" t="s">
        <v>351</v>
      </c>
      <c r="K40">
        <v>36</v>
      </c>
      <c r="L40" s="91">
        <f t="shared" si="88"/>
        <v>37.08</v>
      </c>
      <c r="M40" s="93">
        <f t="shared" si="89"/>
        <v>0.14982620160613688</v>
      </c>
      <c r="N40" s="122">
        <f t="shared" si="66"/>
        <v>1.7483093261718747E-4</v>
      </c>
      <c r="O40" s="97">
        <f t="shared" si="67"/>
        <v>1.5734783935546877E-4</v>
      </c>
      <c r="P40" s="123">
        <f t="shared" si="68"/>
        <v>1.430434903231534E-4</v>
      </c>
      <c r="Q40" s="127">
        <f t="shared" si="69"/>
        <v>0.1953125</v>
      </c>
      <c r="R40" s="91">
        <f t="shared" si="70"/>
        <v>0.76711015222342083</v>
      </c>
      <c r="S40" s="92">
        <f t="shared" si="90"/>
        <v>0.16648706896551724</v>
      </c>
      <c r="T40" s="92">
        <f t="shared" si="71"/>
        <v>0.85035368670617939</v>
      </c>
      <c r="U40" s="92">
        <f t="shared" si="91"/>
        <v>1.0013015818713791</v>
      </c>
      <c r="V40" s="118">
        <f t="shared" si="72"/>
        <v>0.33968270302557246</v>
      </c>
      <c r="W40" s="103">
        <f t="shared" si="73"/>
        <v>0.30485479830082468</v>
      </c>
      <c r="X40" s="117">
        <f t="shared" si="92"/>
        <v>0.62135922330097082</v>
      </c>
      <c r="Y40" s="103">
        <f t="shared" si="93"/>
        <v>0.26661060037286305</v>
      </c>
      <c r="Z40" s="103">
        <f t="shared" si="94"/>
        <v>0.56164590733939446</v>
      </c>
      <c r="AA40" s="118">
        <f t="shared" si="95"/>
        <v>0.36890010081482183</v>
      </c>
      <c r="AB40" s="117">
        <f t="shared" si="96"/>
        <v>0.62135922330097082</v>
      </c>
      <c r="AC40" s="103">
        <f t="shared" si="97"/>
        <v>0.26661060037286305</v>
      </c>
      <c r="AD40" s="103">
        <f t="shared" si="98"/>
        <v>0.56164590733939446</v>
      </c>
      <c r="AE40" s="118">
        <f t="shared" si="99"/>
        <v>0.25582440311880272</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163">
        <f t="shared" si="116"/>
        <v>4.6352966589861752E-2</v>
      </c>
      <c r="AW40" s="143">
        <f t="shared" si="74"/>
        <v>0</v>
      </c>
      <c r="AX40" s="154">
        <f t="shared" si="117"/>
        <v>0</v>
      </c>
      <c r="AY40" s="155">
        <v>36</v>
      </c>
      <c r="AZ40" s="156">
        <f t="shared" si="118"/>
        <v>0</v>
      </c>
      <c r="BA40" s="157">
        <f t="shared" si="119"/>
        <v>62.526599888803858</v>
      </c>
      <c r="BB40" s="158">
        <f t="shared" si="120"/>
        <v>2.3072315358968622E-2</v>
      </c>
      <c r="BC40" s="157">
        <f t="shared" si="75"/>
        <v>69.203690524782431</v>
      </c>
      <c r="BD40" s="159">
        <f t="shared" si="121"/>
        <v>2.5536161803644718E-2</v>
      </c>
      <c r="BE40" s="24">
        <f t="shared" si="122"/>
        <v>7.5585899129281785E-3</v>
      </c>
      <c r="BF40" s="27">
        <f t="shared" si="123"/>
        <v>3.1293296484907543E-2</v>
      </c>
      <c r="BG40" s="24">
        <f t="shared" si="124"/>
        <v>8.0579089006279261E-2</v>
      </c>
      <c r="BH40" s="61">
        <f t="shared" si="125"/>
        <v>0.1016734456067282</v>
      </c>
      <c r="BI40" s="24">
        <f t="shared" si="126"/>
        <v>8.0579089006279261E-2</v>
      </c>
      <c r="BJ40" s="27">
        <f t="shared" si="127"/>
        <v>0.1016734456067282</v>
      </c>
      <c r="BK40" s="24">
        <f t="shared" si="128"/>
        <v>0</v>
      </c>
      <c r="BL40" s="27">
        <f t="shared" si="129"/>
        <v>0</v>
      </c>
      <c r="BM40" s="24">
        <f t="shared" si="130"/>
        <v>0</v>
      </c>
      <c r="BN40" s="27">
        <f t="shared" si="131"/>
        <v>0</v>
      </c>
      <c r="BO40" s="24">
        <f t="shared" si="132"/>
        <v>0</v>
      </c>
      <c r="BP40" s="27">
        <f t="shared" si="133"/>
        <v>0</v>
      </c>
      <c r="BQ40" s="147">
        <f t="shared" si="134"/>
        <v>0</v>
      </c>
      <c r="BR40" s="27">
        <f t="shared" si="135"/>
        <v>0</v>
      </c>
      <c r="BS40" s="91">
        <f t="shared" si="76"/>
        <v>0.40335695562385065</v>
      </c>
      <c r="BT40" s="101">
        <f t="shared" si="77"/>
        <v>0.40335695562385065</v>
      </c>
      <c r="BU40" s="206">
        <f t="shared" si="78"/>
        <v>0.40335695562385065</v>
      </c>
      <c r="BV40" s="97">
        <f t="shared" si="79"/>
        <v>0.4264292709828193</v>
      </c>
      <c r="BW40" s="123">
        <f t="shared" si="80"/>
        <v>0.42889311742749536</v>
      </c>
      <c r="BX40" s="91">
        <f t="shared" si="81"/>
        <v>1.5713523481405943E-3</v>
      </c>
      <c r="BY40" s="92">
        <f t="shared" si="136"/>
        <v>5.0000000000000001E-3</v>
      </c>
      <c r="BZ40" s="233">
        <f t="shared" si="137"/>
        <v>5.0000000000000001E-3</v>
      </c>
      <c r="CA40" s="92">
        <f t="shared" si="138"/>
        <v>0</v>
      </c>
      <c r="CB40" s="92">
        <f t="shared" si="139"/>
        <v>0</v>
      </c>
      <c r="CC40" s="92">
        <f t="shared" si="140"/>
        <v>0</v>
      </c>
      <c r="CD40" s="92">
        <f t="shared" si="141"/>
        <v>0</v>
      </c>
      <c r="CE40" s="127">
        <f t="shared" si="82"/>
        <v>1.1571352348140595E-2</v>
      </c>
      <c r="CF40" s="91">
        <f t="shared" si="83"/>
        <v>6.5098882994396035E-3</v>
      </c>
      <c r="CG40" s="92">
        <f t="shared" si="142"/>
        <v>0.15906796116504857</v>
      </c>
      <c r="CH40" s="92">
        <f t="shared" si="143"/>
        <v>5.7533261416756569E-3</v>
      </c>
      <c r="CI40" s="92">
        <f t="shared" si="144"/>
        <v>0.22248000000000001</v>
      </c>
      <c r="CJ40" s="93">
        <f t="shared" si="145"/>
        <v>0.09</v>
      </c>
      <c r="CK40" s="127">
        <f t="shared" si="84"/>
        <v>0.48381117560616382</v>
      </c>
      <c r="CL40" s="91">
        <f t="shared" si="146"/>
        <v>0.15</v>
      </c>
      <c r="CM40" s="92">
        <f t="shared" si="147"/>
        <v>0.15</v>
      </c>
      <c r="CN40" s="92">
        <f t="shared" si="148"/>
        <v>0</v>
      </c>
      <c r="CO40" s="92">
        <f t="shared" si="149"/>
        <v>0</v>
      </c>
      <c r="CP40" s="92">
        <f t="shared" si="150"/>
        <v>0</v>
      </c>
      <c r="CQ40" s="92">
        <f t="shared" si="151"/>
        <v>0</v>
      </c>
      <c r="CR40" s="127">
        <f t="shared" si="85"/>
        <v>0.3</v>
      </c>
      <c r="CS40" s="92">
        <f t="shared" si="86"/>
        <v>0.79538252795430442</v>
      </c>
      <c r="CT40" s="92">
        <f t="shared" si="152"/>
        <v>5.7953825279543043</v>
      </c>
      <c r="CU40" s="93">
        <f t="shared" si="153"/>
        <v>0.86275581911672983</v>
      </c>
      <c r="CV40">
        <f t="shared" si="87"/>
        <v>37.08</v>
      </c>
    </row>
    <row r="41" spans="1:100" ht="15.75" thickBot="1" x14ac:dyDescent="0.3">
      <c r="A41" s="12" t="s">
        <v>395</v>
      </c>
      <c r="B41" s="176">
        <f>IF(AND(Vout1&lt;&gt;0,Iout1&lt;&gt;0),(Iout1*B10)/(Vout1_Ripple*(10^-3)),0)</f>
        <v>1.6666666666666664E-5</v>
      </c>
      <c r="C41" s="12" t="s">
        <v>351</v>
      </c>
      <c r="K41">
        <v>37</v>
      </c>
      <c r="L41" s="91">
        <f t="shared" si="88"/>
        <v>37.86</v>
      </c>
      <c r="M41" s="93">
        <f t="shared" si="89"/>
        <v>0.14673944943358574</v>
      </c>
      <c r="N41" s="122">
        <f t="shared" si="66"/>
        <v>1.7624646493792222E-4</v>
      </c>
      <c r="O41" s="97">
        <f t="shared" si="67"/>
        <v>1.5862181844413E-4</v>
      </c>
      <c r="P41" s="123">
        <f t="shared" si="68"/>
        <v>1.4420165313102729E-4</v>
      </c>
      <c r="Q41" s="127">
        <f t="shared" si="69"/>
        <v>0.19206145966709348</v>
      </c>
      <c r="R41" s="91">
        <f t="shared" si="70"/>
        <v>0.76402340005086977</v>
      </c>
      <c r="S41" s="92">
        <f t="shared" si="90"/>
        <v>0.1671596979999117</v>
      </c>
      <c r="T41" s="92">
        <f t="shared" si="71"/>
        <v>0.84760324905082562</v>
      </c>
      <c r="U41" s="92">
        <f t="shared" si="91"/>
        <v>0.99586652809342069</v>
      </c>
      <c r="V41" s="118">
        <f t="shared" si="72"/>
        <v>0.33549902238711504</v>
      </c>
      <c r="W41" s="103">
        <f t="shared" si="73"/>
        <v>0.30170702345593159</v>
      </c>
      <c r="X41" s="117">
        <f t="shared" si="92"/>
        <v>0.6188589540412045</v>
      </c>
      <c r="Y41" s="103">
        <f t="shared" si="93"/>
        <v>0.2676877412691645</v>
      </c>
      <c r="Z41" s="103">
        <f t="shared" si="94"/>
        <v>0.56058362114287397</v>
      </c>
      <c r="AA41" s="118">
        <f t="shared" si="95"/>
        <v>0.36467301106192884</v>
      </c>
      <c r="AB41" s="117">
        <f t="shared" si="96"/>
        <v>0.6188589540412045</v>
      </c>
      <c r="AC41" s="103">
        <f t="shared" si="97"/>
        <v>0.2676877412691645</v>
      </c>
      <c r="AD41" s="103">
        <f t="shared" si="98"/>
        <v>0.56058362114287397</v>
      </c>
      <c r="AE41" s="118">
        <f t="shared" si="99"/>
        <v>0.25348371997755054</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163">
        <f t="shared" si="116"/>
        <v>4.6540238498439322E-2</v>
      </c>
      <c r="AW41" s="143">
        <f t="shared" si="74"/>
        <v>0</v>
      </c>
      <c r="AX41" s="154">
        <f t="shared" si="117"/>
        <v>0</v>
      </c>
      <c r="AY41" s="155">
        <v>37</v>
      </c>
      <c r="AZ41" s="156">
        <f t="shared" si="118"/>
        <v>0</v>
      </c>
      <c r="BA41" s="157">
        <f t="shared" si="119"/>
        <v>63.200812276304788</v>
      </c>
      <c r="BB41" s="158">
        <f t="shared" si="120"/>
        <v>2.3321099729956465E-2</v>
      </c>
      <c r="BC41" s="157">
        <f t="shared" si="75"/>
        <v>69.893516005433227</v>
      </c>
      <c r="BD41" s="159">
        <f t="shared" si="121"/>
        <v>2.5790707406004858E-2</v>
      </c>
      <c r="BE41" s="24">
        <f t="shared" si="122"/>
        <v>7.2503507222083088E-3</v>
      </c>
      <c r="BF41" s="27">
        <f t="shared" si="123"/>
        <v>3.0650395669463232E-2</v>
      </c>
      <c r="BG41" s="24">
        <f t="shared" si="124"/>
        <v>8.0579089006279261E-2</v>
      </c>
      <c r="BH41" s="61">
        <f t="shared" si="125"/>
        <v>0.10128920295170224</v>
      </c>
      <c r="BI41" s="24">
        <f t="shared" si="126"/>
        <v>8.0579089006279261E-2</v>
      </c>
      <c r="BJ41" s="27">
        <f t="shared" si="127"/>
        <v>0.10128920295170224</v>
      </c>
      <c r="BK41" s="24">
        <f t="shared" si="128"/>
        <v>0</v>
      </c>
      <c r="BL41" s="27">
        <f t="shared" si="129"/>
        <v>0</v>
      </c>
      <c r="BM41" s="24">
        <f t="shared" si="130"/>
        <v>0</v>
      </c>
      <c r="BN41" s="27">
        <f t="shared" si="131"/>
        <v>0</v>
      </c>
      <c r="BO41" s="24">
        <f t="shared" si="132"/>
        <v>0</v>
      </c>
      <c r="BP41" s="27">
        <f t="shared" si="133"/>
        <v>0</v>
      </c>
      <c r="BQ41" s="147">
        <f t="shared" si="134"/>
        <v>0</v>
      </c>
      <c r="BR41" s="27">
        <f t="shared" si="135"/>
        <v>0</v>
      </c>
      <c r="BS41" s="91">
        <f t="shared" si="76"/>
        <v>0.40163733030763454</v>
      </c>
      <c r="BT41" s="101">
        <f t="shared" si="77"/>
        <v>0.40163733030763454</v>
      </c>
      <c r="BU41" s="206">
        <f t="shared" si="78"/>
        <v>0.40163733030763454</v>
      </c>
      <c r="BV41" s="97">
        <f t="shared" si="79"/>
        <v>0.42495843003759098</v>
      </c>
      <c r="BW41" s="123">
        <f t="shared" si="80"/>
        <v>0.42742803771363941</v>
      </c>
      <c r="BX41" s="91">
        <f t="shared" si="81"/>
        <v>1.507272621405031E-3</v>
      </c>
      <c r="BY41" s="92">
        <f t="shared" si="136"/>
        <v>5.0000000000000001E-3</v>
      </c>
      <c r="BZ41" s="233">
        <f t="shared" si="137"/>
        <v>5.0000000000000001E-3</v>
      </c>
      <c r="CA41" s="92">
        <f t="shared" si="138"/>
        <v>0</v>
      </c>
      <c r="CB41" s="92">
        <f t="shared" si="139"/>
        <v>0</v>
      </c>
      <c r="CC41" s="92">
        <f t="shared" si="140"/>
        <v>0</v>
      </c>
      <c r="CD41" s="92">
        <f t="shared" si="141"/>
        <v>0</v>
      </c>
      <c r="CE41" s="127">
        <f t="shared" si="82"/>
        <v>1.1507272621405031E-2</v>
      </c>
      <c r="CF41" s="91">
        <f t="shared" si="83"/>
        <v>6.2444151458208412E-3</v>
      </c>
      <c r="CG41" s="92">
        <f t="shared" si="142"/>
        <v>0.16110961436872692</v>
      </c>
      <c r="CH41" s="92">
        <f t="shared" si="143"/>
        <v>5.7301755003815241E-3</v>
      </c>
      <c r="CI41" s="92">
        <f t="shared" si="144"/>
        <v>0.22716</v>
      </c>
      <c r="CJ41" s="93">
        <f t="shared" si="145"/>
        <v>0.09</v>
      </c>
      <c r="CK41" s="127">
        <f t="shared" si="84"/>
        <v>0.49024420501492927</v>
      </c>
      <c r="CL41" s="91">
        <f t="shared" si="146"/>
        <v>0.15</v>
      </c>
      <c r="CM41" s="92">
        <f t="shared" si="147"/>
        <v>0.15</v>
      </c>
      <c r="CN41" s="92">
        <f t="shared" si="148"/>
        <v>0</v>
      </c>
      <c r="CO41" s="92">
        <f t="shared" si="149"/>
        <v>0</v>
      </c>
      <c r="CP41" s="92">
        <f t="shared" si="150"/>
        <v>0</v>
      </c>
      <c r="CQ41" s="92">
        <f t="shared" si="151"/>
        <v>0</v>
      </c>
      <c r="CR41" s="127">
        <f t="shared" si="85"/>
        <v>0.3</v>
      </c>
      <c r="CS41" s="92">
        <f t="shared" si="86"/>
        <v>0.80175147763633425</v>
      </c>
      <c r="CT41" s="92">
        <f t="shared" si="152"/>
        <v>5.8017514776363344</v>
      </c>
      <c r="CU41" s="93">
        <f t="shared" si="153"/>
        <v>0.86180871746630339</v>
      </c>
      <c r="CV41">
        <f t="shared" si="87"/>
        <v>37.86</v>
      </c>
    </row>
    <row r="42" spans="1:100" ht="15.75" thickBot="1" x14ac:dyDescent="0.3">
      <c r="A42" s="12" t="s">
        <v>396</v>
      </c>
      <c r="B42" s="176">
        <f>COUT1_FBB</f>
        <v>1.9999999999999998E-5</v>
      </c>
      <c r="C42" s="12" t="s">
        <v>351</v>
      </c>
      <c r="K42">
        <v>38</v>
      </c>
      <c r="L42" s="91">
        <f t="shared" si="88"/>
        <v>38.64</v>
      </c>
      <c r="M42" s="93">
        <f t="shared" si="89"/>
        <v>0.14377731769036114</v>
      </c>
      <c r="N42" s="122">
        <f t="shared" si="66"/>
        <v>1.7762107493861395E-4</v>
      </c>
      <c r="O42" s="97">
        <f t="shared" si="67"/>
        <v>1.5985896744475254E-4</v>
      </c>
      <c r="P42" s="123">
        <f t="shared" si="68"/>
        <v>1.4532633404068412E-4</v>
      </c>
      <c r="Q42" s="127">
        <f t="shared" si="69"/>
        <v>0.18891687657430731</v>
      </c>
      <c r="R42" s="91">
        <f t="shared" si="70"/>
        <v>0.76106126830764498</v>
      </c>
      <c r="S42" s="92">
        <f t="shared" si="90"/>
        <v>0.16781030139841918</v>
      </c>
      <c r="T42" s="92">
        <f t="shared" si="71"/>
        <v>0.84496641900685454</v>
      </c>
      <c r="U42" s="92">
        <f t="shared" si="91"/>
        <v>0.99062678186818243</v>
      </c>
      <c r="V42" s="118">
        <f t="shared" si="72"/>
        <v>0.33146142667290729</v>
      </c>
      <c r="W42" s="103">
        <f t="shared" si="73"/>
        <v>0.29865491840886205</v>
      </c>
      <c r="X42" s="117">
        <f t="shared" si="92"/>
        <v>0.61645962732919257</v>
      </c>
      <c r="Y42" s="103">
        <f t="shared" si="93"/>
        <v>0.26872961054921429</v>
      </c>
      <c r="Z42" s="103">
        <f t="shared" si="94"/>
        <v>0.5595631198601656</v>
      </c>
      <c r="AA42" s="118">
        <f t="shared" si="95"/>
        <v>0.36058628943270565</v>
      </c>
      <c r="AB42" s="117">
        <f t="shared" si="96"/>
        <v>0.61645962732919257</v>
      </c>
      <c r="AC42" s="103">
        <f t="shared" si="97"/>
        <v>0.26872961054921429</v>
      </c>
      <c r="AD42" s="103">
        <f t="shared" si="98"/>
        <v>0.5595631198601656</v>
      </c>
      <c r="AE42" s="118">
        <f t="shared" si="99"/>
        <v>0.25121879927195351</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163">
        <f t="shared" si="116"/>
        <v>4.6721378077516862E-2</v>
      </c>
      <c r="AW42" s="143">
        <f t="shared" si="74"/>
        <v>0</v>
      </c>
      <c r="AX42" s="154">
        <f t="shared" si="117"/>
        <v>0</v>
      </c>
      <c r="AY42" s="155">
        <v>38</v>
      </c>
      <c r="AZ42" s="156">
        <f t="shared" si="118"/>
        <v>0</v>
      </c>
      <c r="BA42" s="157">
        <f t="shared" si="119"/>
        <v>63.857246096300194</v>
      </c>
      <c r="BB42" s="158">
        <f t="shared" si="120"/>
        <v>2.3563323809534773E-2</v>
      </c>
      <c r="BC42" s="157">
        <f t="shared" si="75"/>
        <v>70.564619751973495</v>
      </c>
      <c r="BD42" s="159">
        <f t="shared" si="121"/>
        <v>2.603834468847822E-2</v>
      </c>
      <c r="BE42" s="24">
        <f t="shared" si="122"/>
        <v>6.9605891311706261E-3</v>
      </c>
      <c r="BF42" s="27">
        <f t="shared" si="123"/>
        <v>3.0033406024258955E-2</v>
      </c>
      <c r="BG42" s="24">
        <f t="shared" si="124"/>
        <v>8.0579089006279261E-2</v>
      </c>
      <c r="BH42" s="61">
        <f t="shared" si="125"/>
        <v>0.10092075951969427</v>
      </c>
      <c r="BI42" s="24">
        <f t="shared" si="126"/>
        <v>8.0579089006279261E-2</v>
      </c>
      <c r="BJ42" s="27">
        <f t="shared" si="127"/>
        <v>0.10092075951969427</v>
      </c>
      <c r="BK42" s="24">
        <f t="shared" si="128"/>
        <v>0</v>
      </c>
      <c r="BL42" s="27">
        <f t="shared" si="129"/>
        <v>0</v>
      </c>
      <c r="BM42" s="24">
        <f t="shared" si="130"/>
        <v>0</v>
      </c>
      <c r="BN42" s="27">
        <f t="shared" si="131"/>
        <v>0</v>
      </c>
      <c r="BO42" s="24">
        <f t="shared" si="132"/>
        <v>0</v>
      </c>
      <c r="BP42" s="27">
        <f t="shared" si="133"/>
        <v>0</v>
      </c>
      <c r="BQ42" s="147">
        <f t="shared" si="134"/>
        <v>0</v>
      </c>
      <c r="BR42" s="27">
        <f t="shared" si="135"/>
        <v>0</v>
      </c>
      <c r="BS42" s="91">
        <f t="shared" si="76"/>
        <v>0.39999369220737663</v>
      </c>
      <c r="BT42" s="101">
        <f t="shared" si="77"/>
        <v>0.39999369220737663</v>
      </c>
      <c r="BU42" s="206">
        <f t="shared" si="78"/>
        <v>0.39999369220737663</v>
      </c>
      <c r="BV42" s="97">
        <f t="shared" si="79"/>
        <v>0.42355701601691143</v>
      </c>
      <c r="BW42" s="123">
        <f t="shared" si="80"/>
        <v>0.42603203689585484</v>
      </c>
      <c r="BX42" s="91">
        <f t="shared" si="81"/>
        <v>1.4470341957564528E-3</v>
      </c>
      <c r="BY42" s="92">
        <f t="shared" si="136"/>
        <v>5.0000000000000001E-3</v>
      </c>
      <c r="BZ42" s="233">
        <f t="shared" si="137"/>
        <v>5.0000000000000001E-3</v>
      </c>
      <c r="CA42" s="92">
        <f t="shared" si="138"/>
        <v>0</v>
      </c>
      <c r="CB42" s="92">
        <f t="shared" si="139"/>
        <v>0</v>
      </c>
      <c r="CC42" s="92">
        <f t="shared" si="140"/>
        <v>0</v>
      </c>
      <c r="CD42" s="92">
        <f t="shared" si="141"/>
        <v>0</v>
      </c>
      <c r="CE42" s="127">
        <f t="shared" si="82"/>
        <v>1.1447034195756453E-2</v>
      </c>
      <c r="CF42" s="91">
        <f t="shared" si="83"/>
        <v>5.9948559538481605E-3</v>
      </c>
      <c r="CG42" s="92">
        <f t="shared" si="142"/>
        <v>0.16315631469979294</v>
      </c>
      <c r="CH42" s="92">
        <f t="shared" si="143"/>
        <v>5.7079595123073375E-3</v>
      </c>
      <c r="CI42" s="92">
        <f t="shared" si="144"/>
        <v>0.23184000000000002</v>
      </c>
      <c r="CJ42" s="93">
        <f t="shared" si="145"/>
        <v>0.09</v>
      </c>
      <c r="CK42" s="127">
        <f t="shared" si="84"/>
        <v>0.49669913016594847</v>
      </c>
      <c r="CL42" s="91">
        <f t="shared" si="146"/>
        <v>0.15</v>
      </c>
      <c r="CM42" s="92">
        <f t="shared" si="147"/>
        <v>0.15</v>
      </c>
      <c r="CN42" s="92">
        <f t="shared" si="148"/>
        <v>0</v>
      </c>
      <c r="CO42" s="92">
        <f t="shared" si="149"/>
        <v>0</v>
      </c>
      <c r="CP42" s="92">
        <f t="shared" si="150"/>
        <v>0</v>
      </c>
      <c r="CQ42" s="92">
        <f t="shared" si="151"/>
        <v>0</v>
      </c>
      <c r="CR42" s="127">
        <f t="shared" si="85"/>
        <v>0.3</v>
      </c>
      <c r="CS42" s="92">
        <f t="shared" si="86"/>
        <v>0.80814616436170494</v>
      </c>
      <c r="CT42" s="92">
        <f t="shared" si="152"/>
        <v>5.8081461643617054</v>
      </c>
      <c r="CU42" s="93">
        <f t="shared" si="153"/>
        <v>0.86085987826538835</v>
      </c>
      <c r="CV42">
        <f t="shared" si="87"/>
        <v>38.64</v>
      </c>
    </row>
    <row r="43" spans="1:100" ht="15.75" thickBot="1" x14ac:dyDescent="0.3">
      <c r="A43" s="12" t="s">
        <v>397</v>
      </c>
      <c r="B43" s="176">
        <f>IF(AND(Vout2&lt;&gt;0,Iout2&lt;&gt;0),(Iout2*B10)/(Vout2_Ripple*(10^-3)),0)</f>
        <v>1.6666666666666664E-5</v>
      </c>
      <c r="C43" s="12" t="s">
        <v>351</v>
      </c>
      <c r="K43">
        <v>39</v>
      </c>
      <c r="L43" s="91">
        <f t="shared" si="88"/>
        <v>39.42</v>
      </c>
      <c r="M43" s="93">
        <f t="shared" si="89"/>
        <v>0.1409324088167315</v>
      </c>
      <c r="N43" s="122">
        <f t="shared" si="66"/>
        <v>1.7895648208288991E-4</v>
      </c>
      <c r="O43" s="97">
        <f t="shared" si="67"/>
        <v>1.6106083387460094E-4</v>
      </c>
      <c r="P43" s="123">
        <f t="shared" si="68"/>
        <v>1.4641893988600084E-4</v>
      </c>
      <c r="Q43" s="127">
        <f t="shared" si="69"/>
        <v>0.18587360594795538</v>
      </c>
      <c r="R43" s="91">
        <f t="shared" si="70"/>
        <v>0.75821635943401555</v>
      </c>
      <c r="S43" s="92">
        <f t="shared" si="90"/>
        <v>0.16843994359697476</v>
      </c>
      <c r="T43" s="92">
        <f t="shared" si="71"/>
        <v>0.84243633123250294</v>
      </c>
      <c r="U43" s="92">
        <f t="shared" si="91"/>
        <v>0.98557137993107169</v>
      </c>
      <c r="V43" s="118">
        <f t="shared" si="72"/>
        <v>0.32756178856476542</v>
      </c>
      <c r="W43" s="103">
        <f t="shared" si="73"/>
        <v>0.29569372917405901</v>
      </c>
      <c r="X43" s="117">
        <f t="shared" si="92"/>
        <v>0.61415525114155245</v>
      </c>
      <c r="Y43" s="103">
        <f t="shared" si="93"/>
        <v>0.26973791278926251</v>
      </c>
      <c r="Z43" s="103">
        <f t="shared" si="94"/>
        <v>0.55858199606647396</v>
      </c>
      <c r="AA43" s="118">
        <f t="shared" si="95"/>
        <v>0.3566324052925412</v>
      </c>
      <c r="AB43" s="117">
        <f t="shared" si="96"/>
        <v>0.61415525114155245</v>
      </c>
      <c r="AC43" s="103">
        <f t="shared" si="97"/>
        <v>0.26973791278926251</v>
      </c>
      <c r="AD43" s="103">
        <f t="shared" si="98"/>
        <v>0.55858199606647396</v>
      </c>
      <c r="AE43" s="118">
        <f t="shared" si="99"/>
        <v>0.24902579450652562</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163">
        <f t="shared" si="116"/>
        <v>4.6896681685025615E-2</v>
      </c>
      <c r="AW43" s="143">
        <f t="shared" si="74"/>
        <v>0</v>
      </c>
      <c r="AX43" s="154">
        <f t="shared" si="117"/>
        <v>0</v>
      </c>
      <c r="AY43" s="155">
        <v>39</v>
      </c>
      <c r="AZ43" s="156">
        <f t="shared" si="118"/>
        <v>0</v>
      </c>
      <c r="BA43" s="157">
        <f t="shared" si="119"/>
        <v>64.496566467858145</v>
      </c>
      <c r="BB43" s="158">
        <f t="shared" si="120"/>
        <v>2.3799233026639655E-2</v>
      </c>
      <c r="BC43" s="157">
        <f t="shared" si="75"/>
        <v>71.217729140947199</v>
      </c>
      <c r="BD43" s="159">
        <f t="shared" si="121"/>
        <v>2.6279342053009514E-2</v>
      </c>
      <c r="BE43" s="24">
        <f t="shared" si="122"/>
        <v>6.6878572495365027E-3</v>
      </c>
      <c r="BF43" s="27">
        <f t="shared" si="123"/>
        <v>2.9440790962212929E-2</v>
      </c>
      <c r="BG43" s="24">
        <f t="shared" si="124"/>
        <v>8.0579089006279261E-2</v>
      </c>
      <c r="BH43" s="61">
        <f t="shared" si="125"/>
        <v>0.10056716597833955</v>
      </c>
      <c r="BI43" s="24">
        <f t="shared" si="126"/>
        <v>8.0579089006279261E-2</v>
      </c>
      <c r="BJ43" s="27">
        <f t="shared" si="127"/>
        <v>0.10056716597833955</v>
      </c>
      <c r="BK43" s="24">
        <f t="shared" si="128"/>
        <v>0</v>
      </c>
      <c r="BL43" s="27">
        <f t="shared" si="129"/>
        <v>0</v>
      </c>
      <c r="BM43" s="24">
        <f t="shared" si="130"/>
        <v>0</v>
      </c>
      <c r="BN43" s="27">
        <f t="shared" si="131"/>
        <v>0</v>
      </c>
      <c r="BO43" s="24">
        <f t="shared" si="132"/>
        <v>0</v>
      </c>
      <c r="BP43" s="27">
        <f t="shared" si="133"/>
        <v>0</v>
      </c>
      <c r="BQ43" s="147">
        <f t="shared" si="134"/>
        <v>0</v>
      </c>
      <c r="BR43" s="27">
        <f t="shared" si="135"/>
        <v>0</v>
      </c>
      <c r="BS43" s="91">
        <f t="shared" si="76"/>
        <v>0.398421158180987</v>
      </c>
      <c r="BT43" s="101">
        <f t="shared" si="77"/>
        <v>0.398421158180987</v>
      </c>
      <c r="BU43" s="206">
        <f t="shared" si="78"/>
        <v>0.398421158180987</v>
      </c>
      <c r="BV43" s="97">
        <f t="shared" si="79"/>
        <v>0.42222039120762667</v>
      </c>
      <c r="BW43" s="123">
        <f t="shared" si="80"/>
        <v>0.42470050023399653</v>
      </c>
      <c r="BX43" s="91">
        <f t="shared" si="81"/>
        <v>1.3903360698420439E-3</v>
      </c>
      <c r="BY43" s="92">
        <f t="shared" si="136"/>
        <v>5.0000000000000001E-3</v>
      </c>
      <c r="BZ43" s="233">
        <f t="shared" si="137"/>
        <v>5.0000000000000001E-3</v>
      </c>
      <c r="CA43" s="92">
        <f t="shared" si="138"/>
        <v>0</v>
      </c>
      <c r="CB43" s="92">
        <f t="shared" si="139"/>
        <v>0</v>
      </c>
      <c r="CC43" s="92">
        <f t="shared" si="140"/>
        <v>0</v>
      </c>
      <c r="CD43" s="92">
        <f t="shared" si="141"/>
        <v>0</v>
      </c>
      <c r="CE43" s="127">
        <f t="shared" si="82"/>
        <v>1.1390336069842043E-2</v>
      </c>
      <c r="CF43" s="91">
        <f t="shared" si="83"/>
        <v>5.7599637179170382E-3</v>
      </c>
      <c r="CG43" s="92">
        <f t="shared" si="142"/>
        <v>0.16520776255707767</v>
      </c>
      <c r="CH43" s="92">
        <f t="shared" si="143"/>
        <v>5.6866226957551173E-3</v>
      </c>
      <c r="CI43" s="92">
        <f t="shared" si="144"/>
        <v>0.23652000000000001</v>
      </c>
      <c r="CJ43" s="93">
        <f t="shared" si="145"/>
        <v>0.09</v>
      </c>
      <c r="CK43" s="127">
        <f t="shared" si="84"/>
        <v>0.50317434897074986</v>
      </c>
      <c r="CL43" s="91">
        <f t="shared" si="146"/>
        <v>0.15</v>
      </c>
      <c r="CM43" s="92">
        <f t="shared" si="147"/>
        <v>0.15</v>
      </c>
      <c r="CN43" s="92">
        <f t="shared" si="148"/>
        <v>0</v>
      </c>
      <c r="CO43" s="92">
        <f t="shared" si="149"/>
        <v>0</v>
      </c>
      <c r="CP43" s="92">
        <f t="shared" si="150"/>
        <v>0</v>
      </c>
      <c r="CQ43" s="92">
        <f t="shared" si="151"/>
        <v>0</v>
      </c>
      <c r="CR43" s="127">
        <f t="shared" si="85"/>
        <v>0.3</v>
      </c>
      <c r="CS43" s="92">
        <f t="shared" si="86"/>
        <v>0.81456468504059198</v>
      </c>
      <c r="CT43" s="92">
        <f t="shared" si="152"/>
        <v>5.8145646850405921</v>
      </c>
      <c r="CU43" s="93">
        <f t="shared" si="153"/>
        <v>0.85990960129203453</v>
      </c>
      <c r="CV43">
        <f t="shared" si="87"/>
        <v>39.42</v>
      </c>
    </row>
    <row r="44" spans="1:100" ht="15.75" thickBot="1" x14ac:dyDescent="0.3">
      <c r="A44" s="12" t="s">
        <v>398</v>
      </c>
      <c r="B44" s="176">
        <f>COUT2_FBB</f>
        <v>1.9999999999999998E-5</v>
      </c>
      <c r="C44" s="12" t="s">
        <v>351</v>
      </c>
      <c r="K44">
        <v>40</v>
      </c>
      <c r="L44" s="91">
        <f t="shared" si="88"/>
        <v>40.200000000000003</v>
      </c>
      <c r="M44" s="93">
        <f t="shared" si="89"/>
        <v>0.13819789939192922</v>
      </c>
      <c r="N44" s="122">
        <f t="shared" si="66"/>
        <v>1.8025431290898279E-4</v>
      </c>
      <c r="O44" s="97">
        <f t="shared" si="67"/>
        <v>1.6222888161808452E-4</v>
      </c>
      <c r="P44" s="123">
        <f t="shared" si="68"/>
        <v>1.4748080147098592E-4</v>
      </c>
      <c r="Q44" s="127">
        <f t="shared" si="69"/>
        <v>0.18292682926829268</v>
      </c>
      <c r="R44" s="91">
        <f t="shared" si="70"/>
        <v>0.75548185000921309</v>
      </c>
      <c r="S44" s="92">
        <f t="shared" si="90"/>
        <v>0.16904962153069808</v>
      </c>
      <c r="T44" s="92">
        <f t="shared" si="71"/>
        <v>0.8400066607745621</v>
      </c>
      <c r="U44" s="92">
        <f t="shared" si="91"/>
        <v>0.98069018172940181</v>
      </c>
      <c r="V44" s="118">
        <f t="shared" si="72"/>
        <v>0.32379259025958113</v>
      </c>
      <c r="W44" s="103">
        <f t="shared" si="73"/>
        <v>0.29281902621016143</v>
      </c>
      <c r="X44" s="117">
        <f t="shared" si="92"/>
        <v>0.61194029850746268</v>
      </c>
      <c r="Y44" s="103">
        <f t="shared" si="93"/>
        <v>0.27071424447047998</v>
      </c>
      <c r="Z44" s="103">
        <f t="shared" si="94"/>
        <v>0.55763802331903278</v>
      </c>
      <c r="AA44" s="118">
        <f t="shared" si="95"/>
        <v>0.35280437771859141</v>
      </c>
      <c r="AB44" s="117">
        <f t="shared" si="96"/>
        <v>0.61194029850746268</v>
      </c>
      <c r="AC44" s="103">
        <f t="shared" si="97"/>
        <v>0.27071424447047998</v>
      </c>
      <c r="AD44" s="103">
        <f t="shared" si="98"/>
        <v>0.55763802331903278</v>
      </c>
      <c r="AE44" s="118">
        <f t="shared" si="99"/>
        <v>0.24690112403785883</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163">
        <f t="shared" si="116"/>
        <v>4.7066426885467021E-2</v>
      </c>
      <c r="AW44" s="143">
        <f t="shared" si="74"/>
        <v>0</v>
      </c>
      <c r="AX44" s="154">
        <f t="shared" si="117"/>
        <v>0</v>
      </c>
      <c r="AY44" s="155">
        <v>40</v>
      </c>
      <c r="AZ44" s="156">
        <f t="shared" si="118"/>
        <v>0</v>
      </c>
      <c r="BA44" s="157">
        <f t="shared" si="119"/>
        <v>65.11940779621014</v>
      </c>
      <c r="BB44" s="158">
        <f t="shared" si="120"/>
        <v>2.402906147680154E-2</v>
      </c>
      <c r="BC44" s="157">
        <f t="shared" si="75"/>
        <v>71.853536083350392</v>
      </c>
      <c r="BD44" s="159">
        <f t="shared" si="121"/>
        <v>2.6513954814756293E-2</v>
      </c>
      <c r="BE44" s="24">
        <f t="shared" si="122"/>
        <v>6.430846277356162E-3</v>
      </c>
      <c r="BF44" s="27">
        <f t="shared" si="123"/>
        <v>2.8871133092274359E-2</v>
      </c>
      <c r="BG44" s="24">
        <f t="shared" si="124"/>
        <v>8.0579089006279261E-2</v>
      </c>
      <c r="BH44" s="61">
        <f t="shared" si="125"/>
        <v>0.10022754726825825</v>
      </c>
      <c r="BI44" s="24">
        <f t="shared" si="126"/>
        <v>8.0579089006279261E-2</v>
      </c>
      <c r="BJ44" s="27">
        <f t="shared" si="127"/>
        <v>0.10022754726825825</v>
      </c>
      <c r="BK44" s="24">
        <f t="shared" si="128"/>
        <v>0</v>
      </c>
      <c r="BL44" s="27">
        <f t="shared" si="129"/>
        <v>0</v>
      </c>
      <c r="BM44" s="24">
        <f t="shared" si="130"/>
        <v>0</v>
      </c>
      <c r="BN44" s="27">
        <f t="shared" si="131"/>
        <v>0</v>
      </c>
      <c r="BO44" s="24">
        <f t="shared" si="132"/>
        <v>0</v>
      </c>
      <c r="BP44" s="27">
        <f t="shared" si="133"/>
        <v>0</v>
      </c>
      <c r="BQ44" s="147">
        <f t="shared" si="134"/>
        <v>0</v>
      </c>
      <c r="BR44" s="27">
        <f t="shared" si="135"/>
        <v>0</v>
      </c>
      <c r="BS44" s="91">
        <f t="shared" si="76"/>
        <v>0.39691525191870558</v>
      </c>
      <c r="BT44" s="101">
        <f t="shared" si="77"/>
        <v>0.39691525191870558</v>
      </c>
      <c r="BU44" s="206">
        <f t="shared" si="78"/>
        <v>0.39691525191870558</v>
      </c>
      <c r="BV44" s="97">
        <f t="shared" si="79"/>
        <v>0.42094431339550714</v>
      </c>
      <c r="BW44" s="123">
        <f t="shared" si="80"/>
        <v>0.42342920673346185</v>
      </c>
      <c r="BX44" s="91">
        <f t="shared" si="81"/>
        <v>1.3369061577439257E-3</v>
      </c>
      <c r="BY44" s="92">
        <f t="shared" si="136"/>
        <v>5.0000000000000001E-3</v>
      </c>
      <c r="BZ44" s="233">
        <f t="shared" si="137"/>
        <v>5.0000000000000001E-3</v>
      </c>
      <c r="CA44" s="92">
        <f t="shared" si="138"/>
        <v>0</v>
      </c>
      <c r="CB44" s="92">
        <f t="shared" si="139"/>
        <v>0</v>
      </c>
      <c r="CC44" s="92">
        <f t="shared" si="140"/>
        <v>0</v>
      </c>
      <c r="CD44" s="92">
        <f t="shared" si="141"/>
        <v>0</v>
      </c>
      <c r="CE44" s="127">
        <f t="shared" si="82"/>
        <v>1.1336906157743926E-2</v>
      </c>
      <c r="CF44" s="91">
        <f t="shared" si="83"/>
        <v>5.53861122493912E-3</v>
      </c>
      <c r="CG44" s="92">
        <f t="shared" si="142"/>
        <v>0.1672636815920398</v>
      </c>
      <c r="CH44" s="92">
        <f t="shared" si="143"/>
        <v>5.6661138750690983E-3</v>
      </c>
      <c r="CI44" s="92">
        <f t="shared" si="144"/>
        <v>0.24120000000000003</v>
      </c>
      <c r="CJ44" s="93">
        <f t="shared" si="145"/>
        <v>0.09</v>
      </c>
      <c r="CK44" s="127">
        <f t="shared" si="84"/>
        <v>0.50966840669204805</v>
      </c>
      <c r="CL44" s="91">
        <f t="shared" si="146"/>
        <v>0.15</v>
      </c>
      <c r="CM44" s="92">
        <f t="shared" si="147"/>
        <v>0.15</v>
      </c>
      <c r="CN44" s="92">
        <f t="shared" si="148"/>
        <v>0</v>
      </c>
      <c r="CO44" s="92">
        <f t="shared" si="149"/>
        <v>0</v>
      </c>
      <c r="CP44" s="92">
        <f t="shared" si="150"/>
        <v>0</v>
      </c>
      <c r="CQ44" s="92">
        <f t="shared" si="151"/>
        <v>0</v>
      </c>
      <c r="CR44" s="127">
        <f t="shared" si="85"/>
        <v>0.3</v>
      </c>
      <c r="CS44" s="92">
        <f t="shared" si="86"/>
        <v>0.82100531284979206</v>
      </c>
      <c r="CT44" s="92">
        <f t="shared" si="152"/>
        <v>5.8210053128497918</v>
      </c>
      <c r="CU44" s="93">
        <f t="shared" si="153"/>
        <v>0.85895815778806561</v>
      </c>
      <c r="CV44">
        <f t="shared" si="87"/>
        <v>40.200000000000003</v>
      </c>
    </row>
    <row r="45" spans="1:100" ht="15.75" thickBot="1" x14ac:dyDescent="0.3">
      <c r="A45" s="12" t="s">
        <v>399</v>
      </c>
      <c r="B45" s="176">
        <f>IF(AND(Vout3&lt;&gt;0,Iout3&lt;&gt;0),(Iout3*B10)/(Vout3_Ripple*(10^-3)),0)</f>
        <v>0</v>
      </c>
      <c r="C45" s="12" t="s">
        <v>351</v>
      </c>
      <c r="K45">
        <v>41</v>
      </c>
      <c r="L45" s="91">
        <f t="shared" si="88"/>
        <v>40.980000000000004</v>
      </c>
      <c r="M45" s="93">
        <f t="shared" si="89"/>
        <v>0.13556748549427902</v>
      </c>
      <c r="N45" s="122">
        <f t="shared" si="66"/>
        <v>1.8151610704305734E-4</v>
      </c>
      <c r="O45" s="97">
        <f t="shared" si="67"/>
        <v>1.6336449633875158E-4</v>
      </c>
      <c r="P45" s="123">
        <f t="shared" si="68"/>
        <v>1.4851317848977417E-4</v>
      </c>
      <c r="Q45" s="127">
        <f t="shared" si="69"/>
        <v>0.18007202881152459</v>
      </c>
      <c r="R45" s="91">
        <f t="shared" si="70"/>
        <v>0.75285143611156291</v>
      </c>
      <c r="S45" s="92">
        <f t="shared" si="90"/>
        <v>0.16964026990106387</v>
      </c>
      <c r="T45" s="92">
        <f t="shared" si="71"/>
        <v>0.83767157106209489</v>
      </c>
      <c r="U45" s="92">
        <f t="shared" si="91"/>
        <v>0.97597379292270658</v>
      </c>
      <c r="V45" s="118">
        <f t="shared" si="72"/>
        <v>0.32014686660656927</v>
      </c>
      <c r="W45" s="103">
        <f t="shared" si="73"/>
        <v>0.2900266764881515</v>
      </c>
      <c r="X45" s="117">
        <f t="shared" si="92"/>
        <v>0.60980966325036601</v>
      </c>
      <c r="Y45" s="103">
        <f t="shared" si="93"/>
        <v>0.27166010241374816</v>
      </c>
      <c r="Z45" s="103">
        <f t="shared" si="94"/>
        <v>0.55672913948738323</v>
      </c>
      <c r="AA45" s="118">
        <f t="shared" si="95"/>
        <v>0.34909572525816585</v>
      </c>
      <c r="AB45" s="117">
        <f t="shared" si="96"/>
        <v>0.60980966325036601</v>
      </c>
      <c r="AC45" s="103">
        <f t="shared" si="97"/>
        <v>0.27166010241374816</v>
      </c>
      <c r="AD45" s="103">
        <f t="shared" si="98"/>
        <v>0.55672913948738323</v>
      </c>
      <c r="AE45" s="118">
        <f t="shared" si="99"/>
        <v>0.24484144819528045</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163">
        <f t="shared" si="116"/>
        <v>4.7230873916386827E-2</v>
      </c>
      <c r="AW45" s="143">
        <f t="shared" si="74"/>
        <v>0</v>
      </c>
      <c r="AX45" s="154">
        <f t="shared" si="117"/>
        <v>0</v>
      </c>
      <c r="AY45" s="155">
        <v>41</v>
      </c>
      <c r="AZ45" s="156">
        <f t="shared" si="118"/>
        <v>0</v>
      </c>
      <c r="BA45" s="157">
        <f t="shared" si="119"/>
        <v>65.726375338663473</v>
      </c>
      <c r="BB45" s="158">
        <f t="shared" si="120"/>
        <v>2.4253032499966822E-2</v>
      </c>
      <c r="BC45" s="157">
        <f t="shared" si="75"/>
        <v>72.472699005132554</v>
      </c>
      <c r="BD45" s="159">
        <f t="shared" si="121"/>
        <v>2.6742425932893912E-2</v>
      </c>
      <c r="BE45" s="24">
        <f t="shared" si="122"/>
        <v>6.1883707738128457E-3</v>
      </c>
      <c r="BF45" s="27">
        <f t="shared" si="123"/>
        <v>2.8323122878169304E-2</v>
      </c>
      <c r="BG45" s="24">
        <f t="shared" si="124"/>
        <v>8.0579089006279261E-2</v>
      </c>
      <c r="BH45" s="61">
        <f t="shared" si="125"/>
        <v>9.9901095497723136E-2</v>
      </c>
      <c r="BI45" s="24">
        <f t="shared" si="126"/>
        <v>8.0579089006279261E-2</v>
      </c>
      <c r="BJ45" s="27">
        <f t="shared" si="127"/>
        <v>9.9901095497723136E-2</v>
      </c>
      <c r="BK45" s="24">
        <f t="shared" si="128"/>
        <v>0</v>
      </c>
      <c r="BL45" s="27">
        <f t="shared" si="129"/>
        <v>0</v>
      </c>
      <c r="BM45" s="24">
        <f t="shared" si="130"/>
        <v>0</v>
      </c>
      <c r="BN45" s="27">
        <f t="shared" si="131"/>
        <v>0</v>
      </c>
      <c r="BO45" s="24">
        <f t="shared" si="132"/>
        <v>0</v>
      </c>
      <c r="BP45" s="27">
        <f t="shared" si="133"/>
        <v>0</v>
      </c>
      <c r="BQ45" s="147">
        <f t="shared" si="134"/>
        <v>0</v>
      </c>
      <c r="BR45" s="27">
        <f t="shared" si="135"/>
        <v>0</v>
      </c>
      <c r="BS45" s="91">
        <f t="shared" si="76"/>
        <v>0.39547186265998696</v>
      </c>
      <c r="BT45" s="101">
        <f t="shared" si="77"/>
        <v>0.39547186265998696</v>
      </c>
      <c r="BU45" s="206">
        <f t="shared" si="78"/>
        <v>0.39547186265998696</v>
      </c>
      <c r="BV45" s="97">
        <f t="shared" si="79"/>
        <v>0.41972489515995376</v>
      </c>
      <c r="BW45" s="123">
        <f t="shared" si="80"/>
        <v>0.42221428859288085</v>
      </c>
      <c r="BX45" s="91">
        <f t="shared" si="81"/>
        <v>1.2864980186269089E-3</v>
      </c>
      <c r="BY45" s="92">
        <f t="shared" si="136"/>
        <v>5.0000000000000001E-3</v>
      </c>
      <c r="BZ45" s="233">
        <f t="shared" si="137"/>
        <v>5.0000000000000001E-3</v>
      </c>
      <c r="CA45" s="92">
        <f t="shared" si="138"/>
        <v>0</v>
      </c>
      <c r="CB45" s="92">
        <f t="shared" si="139"/>
        <v>0</v>
      </c>
      <c r="CC45" s="92">
        <f t="shared" si="140"/>
        <v>0</v>
      </c>
      <c r="CD45" s="92">
        <f t="shared" si="141"/>
        <v>0</v>
      </c>
      <c r="CE45" s="127">
        <f t="shared" si="82"/>
        <v>1.1286498018626908E-2</v>
      </c>
      <c r="CF45" s="91">
        <f t="shared" si="83"/>
        <v>5.3297775057400496E-3</v>
      </c>
      <c r="CG45" s="92">
        <f t="shared" si="142"/>
        <v>0.16932381649585165</v>
      </c>
      <c r="CH45" s="92">
        <f t="shared" si="143"/>
        <v>5.646385770836722E-3</v>
      </c>
      <c r="CI45" s="92">
        <f t="shared" si="144"/>
        <v>0.24588000000000002</v>
      </c>
      <c r="CJ45" s="93">
        <f t="shared" si="145"/>
        <v>0.09</v>
      </c>
      <c r="CK45" s="127">
        <f t="shared" si="84"/>
        <v>0.51617997977242847</v>
      </c>
      <c r="CL45" s="91">
        <f t="shared" si="146"/>
        <v>0.15</v>
      </c>
      <c r="CM45" s="92">
        <f t="shared" si="147"/>
        <v>0.15</v>
      </c>
      <c r="CN45" s="92">
        <f t="shared" si="148"/>
        <v>0</v>
      </c>
      <c r="CO45" s="92">
        <f t="shared" si="149"/>
        <v>0</v>
      </c>
      <c r="CP45" s="92">
        <f t="shared" si="150"/>
        <v>0</v>
      </c>
      <c r="CQ45" s="92">
        <f t="shared" si="151"/>
        <v>0</v>
      </c>
      <c r="CR45" s="127">
        <f t="shared" si="85"/>
        <v>0.3</v>
      </c>
      <c r="CS45" s="92">
        <f t="shared" si="86"/>
        <v>0.82746647779105542</v>
      </c>
      <c r="CT45" s="92">
        <f t="shared" si="152"/>
        <v>5.8274664777910559</v>
      </c>
      <c r="CU45" s="93">
        <f t="shared" si="153"/>
        <v>0.85800579360780582</v>
      </c>
      <c r="CV45">
        <f t="shared" si="87"/>
        <v>40.980000000000004</v>
      </c>
    </row>
    <row r="46" spans="1:100" ht="15.75" thickBot="1" x14ac:dyDescent="0.3">
      <c r="A46" s="12" t="s">
        <v>400</v>
      </c>
      <c r="B46" s="176">
        <f>COUT3_FBB</f>
        <v>0</v>
      </c>
      <c r="C46" s="12" t="s">
        <v>351</v>
      </c>
      <c r="K46">
        <v>42</v>
      </c>
      <c r="L46" s="91">
        <f t="shared" si="88"/>
        <v>41.76</v>
      </c>
      <c r="M46" s="93">
        <f t="shared" si="89"/>
        <v>0.13303533418475949</v>
      </c>
      <c r="N46" s="122">
        <f t="shared" si="66"/>
        <v>1.8274332277048433E-4</v>
      </c>
      <c r="O46" s="97">
        <f t="shared" si="67"/>
        <v>1.6446899049343594E-4</v>
      </c>
      <c r="P46" s="123">
        <f t="shared" si="68"/>
        <v>1.4951726408494171E-4</v>
      </c>
      <c r="Q46" s="127">
        <f t="shared" si="69"/>
        <v>0.1773049645390071</v>
      </c>
      <c r="R46" s="91">
        <f t="shared" si="70"/>
        <v>0.75031928480204346</v>
      </c>
      <c r="S46" s="92">
        <f t="shared" si="90"/>
        <v>0.1702127659574468</v>
      </c>
      <c r="T46" s="92">
        <f t="shared" si="71"/>
        <v>0.83542566778076688</v>
      </c>
      <c r="U46" s="92">
        <f t="shared" si="91"/>
        <v>0.9714134973075792</v>
      </c>
      <c r="V46" s="118">
        <f t="shared" si="72"/>
        <v>0.31661815453912784</v>
      </c>
      <c r="W46" s="103">
        <f t="shared" si="73"/>
        <v>0.28731281844378681</v>
      </c>
      <c r="X46" s="117">
        <f t="shared" si="92"/>
        <v>0.60775862068965525</v>
      </c>
      <c r="Y46" s="103">
        <f t="shared" si="93"/>
        <v>0.2725768914367741</v>
      </c>
      <c r="Z46" s="103">
        <f t="shared" si="94"/>
        <v>0.55585343189172443</v>
      </c>
      <c r="AA46" s="118">
        <f t="shared" si="95"/>
        <v>0.34550042116123719</v>
      </c>
      <c r="AB46" s="117">
        <f t="shared" si="96"/>
        <v>0.60775862068965525</v>
      </c>
      <c r="AC46" s="103">
        <f t="shared" si="97"/>
        <v>0.2725768914367741</v>
      </c>
      <c r="AD46" s="103">
        <f t="shared" si="98"/>
        <v>0.55585343189172443</v>
      </c>
      <c r="AE46" s="118">
        <f t="shared" si="99"/>
        <v>0.24284364876563669</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163">
        <f t="shared" si="116"/>
        <v>4.7390267019642447E-2</v>
      </c>
      <c r="AW46" s="143">
        <f t="shared" si="74"/>
        <v>0</v>
      </c>
      <c r="AX46" s="154">
        <f t="shared" si="117"/>
        <v>0</v>
      </c>
      <c r="AY46" s="155">
        <v>42</v>
      </c>
      <c r="AZ46" s="156">
        <f t="shared" si="118"/>
        <v>0</v>
      </c>
      <c r="BA46" s="157">
        <f t="shared" si="119"/>
        <v>66.318046697004704</v>
      </c>
      <c r="BB46" s="158">
        <f t="shared" si="120"/>
        <v>2.4471359231194735E-2</v>
      </c>
      <c r="BC46" s="157">
        <f t="shared" si="75"/>
        <v>73.075844713587443</v>
      </c>
      <c r="BD46" s="159">
        <f t="shared" si="121"/>
        <v>2.6964986699313766E-2</v>
      </c>
      <c r="BE46" s="24">
        <f t="shared" si="122"/>
        <v>5.9593549633067087E-3</v>
      </c>
      <c r="BF46" s="27">
        <f t="shared" si="123"/>
        <v>2.7795548568111339E-2</v>
      </c>
      <c r="BG46" s="24">
        <f t="shared" si="124"/>
        <v>8.0579089006279261E-2</v>
      </c>
      <c r="BH46" s="61">
        <f t="shared" si="125"/>
        <v>9.9587063636239759E-2</v>
      </c>
      <c r="BI46" s="24">
        <f t="shared" si="126"/>
        <v>8.0579089006279261E-2</v>
      </c>
      <c r="BJ46" s="27">
        <f t="shared" si="127"/>
        <v>9.9587063636239759E-2</v>
      </c>
      <c r="BK46" s="24">
        <f t="shared" si="128"/>
        <v>0</v>
      </c>
      <c r="BL46" s="27">
        <f t="shared" si="129"/>
        <v>0</v>
      </c>
      <c r="BM46" s="24">
        <f t="shared" si="130"/>
        <v>0</v>
      </c>
      <c r="BN46" s="27">
        <f t="shared" si="131"/>
        <v>0</v>
      </c>
      <c r="BO46" s="24">
        <f t="shared" si="132"/>
        <v>0</v>
      </c>
      <c r="BP46" s="27">
        <f t="shared" si="133"/>
        <v>0</v>
      </c>
      <c r="BQ46" s="147">
        <f t="shared" si="134"/>
        <v>0</v>
      </c>
      <c r="BR46" s="27">
        <f t="shared" si="135"/>
        <v>0</v>
      </c>
      <c r="BS46" s="91">
        <f t="shared" si="76"/>
        <v>0.39408720881645609</v>
      </c>
      <c r="BT46" s="101">
        <f t="shared" si="77"/>
        <v>0.39408720881645609</v>
      </c>
      <c r="BU46" s="206">
        <f t="shared" si="78"/>
        <v>0.39408720881645609</v>
      </c>
      <c r="BV46" s="97">
        <f t="shared" si="79"/>
        <v>0.41855856804765085</v>
      </c>
      <c r="BW46" s="123">
        <f t="shared" si="80"/>
        <v>0.42105219551576983</v>
      </c>
      <c r="BX46" s="91">
        <f t="shared" si="81"/>
        <v>1.2388880099155448E-3</v>
      </c>
      <c r="BY46" s="92">
        <f t="shared" si="136"/>
        <v>5.0000000000000001E-3</v>
      </c>
      <c r="BZ46" s="233">
        <f t="shared" si="137"/>
        <v>5.0000000000000001E-3</v>
      </c>
      <c r="CA46" s="92">
        <f t="shared" si="138"/>
        <v>0</v>
      </c>
      <c r="CB46" s="92">
        <f t="shared" si="139"/>
        <v>0</v>
      </c>
      <c r="CC46" s="92">
        <f t="shared" si="140"/>
        <v>0</v>
      </c>
      <c r="CD46" s="92">
        <f t="shared" si="141"/>
        <v>0</v>
      </c>
      <c r="CE46" s="127">
        <f t="shared" si="82"/>
        <v>1.1238888009915545E-2</v>
      </c>
      <c r="CF46" s="91">
        <f t="shared" si="83"/>
        <v>5.1325360410786848E-3</v>
      </c>
      <c r="CG46" s="92">
        <f t="shared" si="142"/>
        <v>0.17138793103448277</v>
      </c>
      <c r="CH46" s="92">
        <f t="shared" si="143"/>
        <v>5.6273946360153263E-3</v>
      </c>
      <c r="CI46" s="92">
        <f t="shared" si="144"/>
        <v>0.25056</v>
      </c>
      <c r="CJ46" s="93">
        <f t="shared" si="145"/>
        <v>0.09</v>
      </c>
      <c r="CK46" s="127">
        <f t="shared" si="84"/>
        <v>0.52270786171157679</v>
      </c>
      <c r="CL46" s="91">
        <f t="shared" si="146"/>
        <v>0.15</v>
      </c>
      <c r="CM46" s="92">
        <f t="shared" si="147"/>
        <v>0.15</v>
      </c>
      <c r="CN46" s="92">
        <f t="shared" si="148"/>
        <v>0</v>
      </c>
      <c r="CO46" s="92">
        <f t="shared" si="149"/>
        <v>0</v>
      </c>
      <c r="CP46" s="92">
        <f t="shared" si="150"/>
        <v>0</v>
      </c>
      <c r="CQ46" s="92">
        <f t="shared" si="151"/>
        <v>0</v>
      </c>
      <c r="CR46" s="127">
        <f t="shared" si="85"/>
        <v>0.3</v>
      </c>
      <c r="CS46" s="92">
        <f t="shared" si="86"/>
        <v>0.83394674972149241</v>
      </c>
      <c r="CT46" s="92">
        <f t="shared" si="152"/>
        <v>5.8339467497214921</v>
      </c>
      <c r="CU46" s="93">
        <f t="shared" si="153"/>
        <v>0.85705273196720488</v>
      </c>
      <c r="CV46">
        <f t="shared" si="87"/>
        <v>41.76</v>
      </c>
    </row>
    <row r="47" spans="1:100" ht="15.75" thickBot="1" x14ac:dyDescent="0.3">
      <c r="A47" s="12" t="s">
        <v>401</v>
      </c>
      <c r="B47" s="176">
        <f>IF(AND(Vout4&lt;&gt;0,Iout4&lt;&gt;0),(Iout4*B10)/(Vout4_Ripple*(10^-3)),0)</f>
        <v>0</v>
      </c>
      <c r="C47" s="12" t="s">
        <v>351</v>
      </c>
      <c r="K47">
        <v>43</v>
      </c>
      <c r="L47" s="91">
        <f t="shared" si="88"/>
        <v>42.54</v>
      </c>
      <c r="M47" s="93">
        <f t="shared" si="89"/>
        <v>0.13059604032805724</v>
      </c>
      <c r="N47" s="122">
        <f t="shared" si="66"/>
        <v>1.8393734220016505E-4</v>
      </c>
      <c r="O47" s="97">
        <f t="shared" si="67"/>
        <v>1.6554360798014855E-4</v>
      </c>
      <c r="P47" s="123">
        <f t="shared" si="68"/>
        <v>1.5049418907286231E-4</v>
      </c>
      <c r="Q47" s="127">
        <f t="shared" si="69"/>
        <v>0.17462165308498254</v>
      </c>
      <c r="R47" s="91">
        <f t="shared" si="70"/>
        <v>0.74787999094534119</v>
      </c>
      <c r="S47" s="92">
        <f t="shared" si="90"/>
        <v>0.17076793384448635</v>
      </c>
      <c r="T47" s="92">
        <f t="shared" si="71"/>
        <v>0.83326395786758434</v>
      </c>
      <c r="U47" s="92">
        <f t="shared" si="91"/>
        <v>0.9670011961007885</v>
      </c>
      <c r="V47" s="118">
        <f t="shared" si="72"/>
        <v>0.31320044799979979</v>
      </c>
      <c r="W47" s="103">
        <f t="shared" si="73"/>
        <v>0.28467383946879937</v>
      </c>
      <c r="X47" s="117">
        <f t="shared" si="92"/>
        <v>0.60578279266572643</v>
      </c>
      <c r="Y47" s="103">
        <f t="shared" si="93"/>
        <v>0.2734659313159134</v>
      </c>
      <c r="Z47" s="103">
        <f t="shared" si="94"/>
        <v>0.55500912402460845</v>
      </c>
      <c r="AA47" s="118">
        <f t="shared" si="95"/>
        <v>0.34201285339865006</v>
      </c>
      <c r="AB47" s="117">
        <f t="shared" si="96"/>
        <v>0.60578279266572643</v>
      </c>
      <c r="AC47" s="103">
        <f t="shared" si="97"/>
        <v>0.2734659313159134</v>
      </c>
      <c r="AD47" s="103">
        <f t="shared" si="98"/>
        <v>0.55500912402460845</v>
      </c>
      <c r="AE47" s="118">
        <f t="shared" si="99"/>
        <v>0.24090481055919824</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163">
        <f t="shared" si="116"/>
        <v>4.7544835651786715E-2</v>
      </c>
      <c r="AW47" s="143">
        <f t="shared" si="74"/>
        <v>0</v>
      </c>
      <c r="AX47" s="154">
        <f t="shared" si="117"/>
        <v>0</v>
      </c>
      <c r="AY47" s="155">
        <v>43</v>
      </c>
      <c r="AZ47" s="156">
        <f t="shared" si="118"/>
        <v>0</v>
      </c>
      <c r="BA47" s="157">
        <f t="shared" si="119"/>
        <v>66.894973237261866</v>
      </c>
      <c r="BB47" s="158">
        <f t="shared" si="120"/>
        <v>2.4684245124549628E-2</v>
      </c>
      <c r="BC47" s="157">
        <f t="shared" si="75"/>
        <v>73.66357015488957</v>
      </c>
      <c r="BD47" s="159">
        <f t="shared" si="121"/>
        <v>2.718185738715425E-2</v>
      </c>
      <c r="BE47" s="24">
        <f t="shared" si="122"/>
        <v>5.7428207827731328E-3</v>
      </c>
      <c r="BF47" s="27">
        <f t="shared" si="123"/>
        <v>2.7287287232336116E-2</v>
      </c>
      <c r="BG47" s="24">
        <f t="shared" si="124"/>
        <v>8.0579089006279261E-2</v>
      </c>
      <c r="BH47" s="61">
        <f t="shared" si="125"/>
        <v>9.9284759904292932E-2</v>
      </c>
      <c r="BI47" s="24">
        <f t="shared" si="126"/>
        <v>8.0579089006279261E-2</v>
      </c>
      <c r="BJ47" s="27">
        <f t="shared" si="127"/>
        <v>9.9284759904292932E-2</v>
      </c>
      <c r="BK47" s="24">
        <f t="shared" si="128"/>
        <v>0</v>
      </c>
      <c r="BL47" s="27">
        <f t="shared" si="129"/>
        <v>0</v>
      </c>
      <c r="BM47" s="24">
        <f t="shared" si="130"/>
        <v>0</v>
      </c>
      <c r="BN47" s="27">
        <f t="shared" si="131"/>
        <v>0</v>
      </c>
      <c r="BO47" s="24">
        <f t="shared" si="132"/>
        <v>0</v>
      </c>
      <c r="BP47" s="27">
        <f t="shared" si="133"/>
        <v>0</v>
      </c>
      <c r="BQ47" s="147">
        <f t="shared" si="134"/>
        <v>0</v>
      </c>
      <c r="BR47" s="27">
        <f t="shared" si="135"/>
        <v>0</v>
      </c>
      <c r="BS47" s="91">
        <f t="shared" si="76"/>
        <v>0.39275780583625364</v>
      </c>
      <c r="BT47" s="101">
        <f t="shared" si="77"/>
        <v>0.39275780583625364</v>
      </c>
      <c r="BU47" s="206">
        <f t="shared" si="78"/>
        <v>0.39275780583625364</v>
      </c>
      <c r="BV47" s="97">
        <f t="shared" si="79"/>
        <v>0.41744205096080328</v>
      </c>
      <c r="BW47" s="123">
        <f t="shared" si="80"/>
        <v>0.41993966322340787</v>
      </c>
      <c r="BX47" s="91">
        <f t="shared" si="81"/>
        <v>1.1938728024557289E-3</v>
      </c>
      <c r="BY47" s="92">
        <f t="shared" si="136"/>
        <v>5.0000000000000001E-3</v>
      </c>
      <c r="BZ47" s="233">
        <f t="shared" si="137"/>
        <v>5.0000000000000001E-3</v>
      </c>
      <c r="CA47" s="92">
        <f t="shared" si="138"/>
        <v>0</v>
      </c>
      <c r="CB47" s="92">
        <f t="shared" si="139"/>
        <v>0</v>
      </c>
      <c r="CC47" s="92">
        <f t="shared" si="140"/>
        <v>0</v>
      </c>
      <c r="CD47" s="92">
        <f t="shared" si="141"/>
        <v>0</v>
      </c>
      <c r="CE47" s="127">
        <f t="shared" si="82"/>
        <v>1.1193872802455729E-2</v>
      </c>
      <c r="CF47" s="91">
        <f t="shared" si="83"/>
        <v>4.9460444673165901E-3</v>
      </c>
      <c r="CG47" s="92">
        <f t="shared" si="142"/>
        <v>0.173455806299953</v>
      </c>
      <c r="CH47" s="92">
        <f t="shared" si="143"/>
        <v>5.609099932090059E-3</v>
      </c>
      <c r="CI47" s="92">
        <f t="shared" si="144"/>
        <v>0.25523999999999997</v>
      </c>
      <c r="CJ47" s="93">
        <f t="shared" si="145"/>
        <v>0.09</v>
      </c>
      <c r="CK47" s="127">
        <f t="shared" si="84"/>
        <v>0.52925095069935957</v>
      </c>
      <c r="CL47" s="91">
        <f t="shared" si="146"/>
        <v>0.15</v>
      </c>
      <c r="CM47" s="92">
        <f t="shared" si="147"/>
        <v>0.15</v>
      </c>
      <c r="CN47" s="92">
        <f t="shared" si="148"/>
        <v>0</v>
      </c>
      <c r="CO47" s="92">
        <f t="shared" si="149"/>
        <v>0</v>
      </c>
      <c r="CP47" s="92">
        <f t="shared" si="150"/>
        <v>0</v>
      </c>
      <c r="CQ47" s="92">
        <f t="shared" si="151"/>
        <v>0</v>
      </c>
      <c r="CR47" s="127">
        <f t="shared" si="85"/>
        <v>0.3</v>
      </c>
      <c r="CS47" s="92">
        <f t="shared" si="86"/>
        <v>0.84044482350181526</v>
      </c>
      <c r="CT47" s="92">
        <f t="shared" si="152"/>
        <v>5.8404448235018149</v>
      </c>
      <c r="CU47" s="93">
        <f t="shared" si="153"/>
        <v>0.85609917585046191</v>
      </c>
      <c r="CV47">
        <f t="shared" si="87"/>
        <v>42.54</v>
      </c>
    </row>
    <row r="48" spans="1:100" ht="15.75" thickBot="1" x14ac:dyDescent="0.3">
      <c r="A48" s="12" t="s">
        <v>402</v>
      </c>
      <c r="B48" s="176">
        <f>COUT4_FBB</f>
        <v>0</v>
      </c>
      <c r="C48" s="12" t="s">
        <v>351</v>
      </c>
      <c r="K48">
        <v>44</v>
      </c>
      <c r="L48" s="91">
        <f t="shared" si="88"/>
        <v>43.32</v>
      </c>
      <c r="M48" s="93">
        <f t="shared" si="89"/>
        <v>0.1282445880783831</v>
      </c>
      <c r="N48" s="122">
        <f t="shared" si="66"/>
        <v>1.8509947605420418E-4</v>
      </c>
      <c r="O48" s="97">
        <f t="shared" si="67"/>
        <v>1.6658952844878376E-4</v>
      </c>
      <c r="P48" s="123">
        <f t="shared" si="68"/>
        <v>1.514450258625307E-4</v>
      </c>
      <c r="Q48" s="127">
        <f t="shared" si="69"/>
        <v>0.17201834862385321</v>
      </c>
      <c r="R48" s="91">
        <f t="shared" si="70"/>
        <v>0.74552853869566704</v>
      </c>
      <c r="S48" s="92">
        <f t="shared" si="90"/>
        <v>0.17130654856058208</v>
      </c>
      <c r="T48" s="92">
        <f t="shared" si="71"/>
        <v>0.83118181297595806</v>
      </c>
      <c r="U48" s="92">
        <f t="shared" si="91"/>
        <v>0.96272935366624401</v>
      </c>
      <c r="V48" s="118">
        <f t="shared" si="72"/>
        <v>0.30988815767166555</v>
      </c>
      <c r="W48" s="103">
        <f t="shared" si="73"/>
        <v>0.28210635564223802</v>
      </c>
      <c r="X48" s="117">
        <f t="shared" si="92"/>
        <v>0.60387811634349031</v>
      </c>
      <c r="Y48" s="103">
        <f t="shared" si="93"/>
        <v>0.27432846312526177</v>
      </c>
      <c r="Z48" s="103">
        <f t="shared" si="94"/>
        <v>0.55419456366263031</v>
      </c>
      <c r="AA48" s="118">
        <f t="shared" si="95"/>
        <v>0.33862778887528122</v>
      </c>
      <c r="AB48" s="117">
        <f t="shared" si="96"/>
        <v>0.60387811634349031</v>
      </c>
      <c r="AC48" s="103">
        <f t="shared" si="97"/>
        <v>0.27432846312526177</v>
      </c>
      <c r="AD48" s="103">
        <f t="shared" si="98"/>
        <v>0.55419456366263031</v>
      </c>
      <c r="AE48" s="118">
        <f t="shared" si="99"/>
        <v>0.23902220481204917</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163">
        <f t="shared" si="116"/>
        <v>4.7694795586183572E-2</v>
      </c>
      <c r="AW48" s="143">
        <f t="shared" si="74"/>
        <v>0</v>
      </c>
      <c r="AX48" s="154">
        <f t="shared" si="117"/>
        <v>0</v>
      </c>
      <c r="AY48" s="155">
        <v>44</v>
      </c>
      <c r="AZ48" s="156">
        <f t="shared" si="118"/>
        <v>0</v>
      </c>
      <c r="BA48" s="157">
        <f t="shared" si="119"/>
        <v>67.457681438353617</v>
      </c>
      <c r="BB48" s="158">
        <f t="shared" si="120"/>
        <v>2.4891884450752487E-2</v>
      </c>
      <c r="BC48" s="157">
        <f t="shared" si="75"/>
        <v>74.236444068170826</v>
      </c>
      <c r="BD48" s="159">
        <f t="shared" si="121"/>
        <v>2.7393247861155035E-2</v>
      </c>
      <c r="BE48" s="24">
        <f t="shared" si="122"/>
        <v>5.5378774217224808E-3</v>
      </c>
      <c r="BF48" s="27">
        <f t="shared" si="123"/>
        <v>2.6797296768821761E-2</v>
      </c>
      <c r="BG48" s="24">
        <f t="shared" si="124"/>
        <v>8.0579089006279261E-2</v>
      </c>
      <c r="BH48" s="61">
        <f t="shared" si="125"/>
        <v>9.8993542771331863E-2</v>
      </c>
      <c r="BI48" s="24">
        <f t="shared" si="126"/>
        <v>8.0579089006279261E-2</v>
      </c>
      <c r="BJ48" s="27">
        <f t="shared" si="127"/>
        <v>9.8993542771331863E-2</v>
      </c>
      <c r="BK48" s="24">
        <f t="shared" si="128"/>
        <v>0</v>
      </c>
      <c r="BL48" s="27">
        <f t="shared" si="129"/>
        <v>0</v>
      </c>
      <c r="BM48" s="24">
        <f t="shared" si="130"/>
        <v>0</v>
      </c>
      <c r="BN48" s="27">
        <f t="shared" si="131"/>
        <v>0</v>
      </c>
      <c r="BO48" s="24">
        <f t="shared" si="132"/>
        <v>0</v>
      </c>
      <c r="BP48" s="27">
        <f t="shared" si="133"/>
        <v>0</v>
      </c>
      <c r="BQ48" s="147">
        <f t="shared" si="134"/>
        <v>0</v>
      </c>
      <c r="BR48" s="27">
        <f t="shared" si="135"/>
        <v>0</v>
      </c>
      <c r="BS48" s="91">
        <f t="shared" si="76"/>
        <v>0.39148043774576652</v>
      </c>
      <c r="BT48" s="101">
        <f t="shared" si="77"/>
        <v>0.39148043774576652</v>
      </c>
      <c r="BU48" s="206">
        <f t="shared" si="78"/>
        <v>0.39148043774576652</v>
      </c>
      <c r="BV48" s="97">
        <f t="shared" si="79"/>
        <v>0.41637232219651898</v>
      </c>
      <c r="BW48" s="123">
        <f t="shared" si="80"/>
        <v>0.41887368560692156</v>
      </c>
      <c r="BX48" s="91">
        <f t="shared" si="81"/>
        <v>1.1512672059975913E-3</v>
      </c>
      <c r="BY48" s="92">
        <f t="shared" si="136"/>
        <v>5.0000000000000001E-3</v>
      </c>
      <c r="BZ48" s="233">
        <f t="shared" si="137"/>
        <v>5.0000000000000001E-3</v>
      </c>
      <c r="CA48" s="92">
        <f t="shared" si="138"/>
        <v>0</v>
      </c>
      <c r="CB48" s="92">
        <f t="shared" si="139"/>
        <v>0</v>
      </c>
      <c r="CC48" s="92">
        <f t="shared" si="140"/>
        <v>0</v>
      </c>
      <c r="CD48" s="92">
        <f t="shared" si="141"/>
        <v>0</v>
      </c>
      <c r="CE48" s="127">
        <f t="shared" si="82"/>
        <v>1.1151267205997592E-2</v>
      </c>
      <c r="CF48" s="91">
        <f t="shared" si="83"/>
        <v>4.7695355677043064E-3</v>
      </c>
      <c r="CG48" s="92">
        <f t="shared" si="142"/>
        <v>0.17552723915050786</v>
      </c>
      <c r="CH48" s="92">
        <f t="shared" si="143"/>
        <v>5.5914640402175038E-3</v>
      </c>
      <c r="CI48" s="92">
        <f t="shared" si="144"/>
        <v>0.25991999999999998</v>
      </c>
      <c r="CJ48" s="93">
        <f t="shared" si="145"/>
        <v>0.09</v>
      </c>
      <c r="CK48" s="127">
        <f t="shared" si="84"/>
        <v>0.53580823875842964</v>
      </c>
      <c r="CL48" s="91">
        <f t="shared" si="146"/>
        <v>0.15</v>
      </c>
      <c r="CM48" s="92">
        <f t="shared" si="147"/>
        <v>0.15</v>
      </c>
      <c r="CN48" s="92">
        <f t="shared" si="148"/>
        <v>0</v>
      </c>
      <c r="CO48" s="92">
        <f t="shared" si="149"/>
        <v>0</v>
      </c>
      <c r="CP48" s="92">
        <f t="shared" si="150"/>
        <v>0</v>
      </c>
      <c r="CQ48" s="92">
        <f t="shared" si="151"/>
        <v>0</v>
      </c>
      <c r="CR48" s="127">
        <f t="shared" si="85"/>
        <v>0.3</v>
      </c>
      <c r="CS48" s="92">
        <f t="shared" si="86"/>
        <v>0.84695950596442715</v>
      </c>
      <c r="CT48" s="92">
        <f t="shared" si="152"/>
        <v>5.8469595059644268</v>
      </c>
      <c r="CU48" s="93">
        <f t="shared" si="153"/>
        <v>0.85514531012221795</v>
      </c>
      <c r="CV48">
        <f t="shared" si="87"/>
        <v>43.32</v>
      </c>
    </row>
    <row r="49" spans="1:100" ht="15.75" thickBot="1" x14ac:dyDescent="0.3">
      <c r="A49" s="12" t="s">
        <v>403</v>
      </c>
      <c r="B49" s="176">
        <f>IF(AND(Vout5&lt;&gt;0,Iout5&lt;&gt;0),(Iout5*B10)/(Vout5_Ripple*(10^-3)),0)</f>
        <v>0</v>
      </c>
      <c r="C49" s="12" t="s">
        <v>351</v>
      </c>
      <c r="K49">
        <v>45</v>
      </c>
      <c r="L49" s="91">
        <f t="shared" si="88"/>
        <v>44.1</v>
      </c>
      <c r="M49" s="93">
        <f t="shared" si="89"/>
        <v>0.12597631645250693</v>
      </c>
      <c r="N49" s="122">
        <f t="shared" si="66"/>
        <v>1.8623096811261133E-4</v>
      </c>
      <c r="O49" s="97">
        <f t="shared" si="67"/>
        <v>1.6760787130135017E-4</v>
      </c>
      <c r="P49" s="123">
        <f t="shared" si="68"/>
        <v>1.5237079209213652E-4</v>
      </c>
      <c r="Q49" s="127">
        <f t="shared" si="69"/>
        <v>0.16949152542372881</v>
      </c>
      <c r="R49" s="91">
        <f t="shared" si="70"/>
        <v>0.74326026706979087</v>
      </c>
      <c r="S49" s="92">
        <f t="shared" si="90"/>
        <v>0.17182933956750437</v>
      </c>
      <c r="T49" s="92">
        <f t="shared" si="71"/>
        <v>0.82917493685354304</v>
      </c>
      <c r="U49" s="92">
        <f t="shared" si="91"/>
        <v>0.95859094889924734</v>
      </c>
      <c r="V49" s="118">
        <f t="shared" si="72"/>
        <v>0.30667607492612076</v>
      </c>
      <c r="W49" s="103">
        <f t="shared" si="73"/>
        <v>0.27960719344313989</v>
      </c>
      <c r="X49" s="117">
        <f t="shared" si="92"/>
        <v>0.60204081632653061</v>
      </c>
      <c r="Y49" s="103">
        <f t="shared" si="93"/>
        <v>0.27516565501704743</v>
      </c>
      <c r="Z49" s="103">
        <f t="shared" si="94"/>
        <v>0.55340821220129599</v>
      </c>
      <c r="AA49" s="118">
        <f t="shared" si="95"/>
        <v>0.33534034132969359</v>
      </c>
      <c r="AB49" s="117">
        <f t="shared" si="96"/>
        <v>0.60204081632653061</v>
      </c>
      <c r="AC49" s="103">
        <f t="shared" si="97"/>
        <v>0.27516565501704743</v>
      </c>
      <c r="AD49" s="103">
        <f t="shared" si="98"/>
        <v>0.55340821220129599</v>
      </c>
      <c r="AE49" s="118">
        <f t="shared" si="99"/>
        <v>0.23719327421289724</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163">
        <f t="shared" si="116"/>
        <v>4.7840349917987968E-2</v>
      </c>
      <c r="AW49" s="143">
        <f t="shared" si="74"/>
        <v>0</v>
      </c>
      <c r="AX49" s="154">
        <f t="shared" si="117"/>
        <v>0</v>
      </c>
      <c r="AY49" s="155">
        <v>45</v>
      </c>
      <c r="AZ49" s="156">
        <f t="shared" si="118"/>
        <v>0</v>
      </c>
      <c r="BA49" s="157">
        <f t="shared" si="119"/>
        <v>68.006674171619167</v>
      </c>
      <c r="BB49" s="158">
        <f t="shared" si="120"/>
        <v>2.5094462769327471E-2</v>
      </c>
      <c r="BC49" s="157">
        <f t="shared" si="75"/>
        <v>74.795008541555575</v>
      </c>
      <c r="BD49" s="159">
        <f t="shared" si="121"/>
        <v>2.7599358151834008E-2</v>
      </c>
      <c r="BE49" s="24">
        <f t="shared" si="122"/>
        <v>5.3437121456896327E-3</v>
      </c>
      <c r="BF49" s="27">
        <f t="shared" si="123"/>
        <v>2.6324608757317704E-2</v>
      </c>
      <c r="BG49" s="24">
        <f t="shared" si="124"/>
        <v>8.0579089006279261E-2</v>
      </c>
      <c r="BH49" s="61">
        <f t="shared" si="125"/>
        <v>9.871281648652315E-2</v>
      </c>
      <c r="BI49" s="24">
        <f t="shared" si="126"/>
        <v>8.0579089006279261E-2</v>
      </c>
      <c r="BJ49" s="27">
        <f t="shared" si="127"/>
        <v>9.871281648652315E-2</v>
      </c>
      <c r="BK49" s="24">
        <f t="shared" si="128"/>
        <v>0</v>
      </c>
      <c r="BL49" s="27">
        <f t="shared" si="129"/>
        <v>0</v>
      </c>
      <c r="BM49" s="24">
        <f t="shared" si="130"/>
        <v>0</v>
      </c>
      <c r="BN49" s="27">
        <f t="shared" si="131"/>
        <v>0</v>
      </c>
      <c r="BO49" s="24">
        <f t="shared" si="132"/>
        <v>0</v>
      </c>
      <c r="BP49" s="27">
        <f t="shared" si="133"/>
        <v>0</v>
      </c>
      <c r="BQ49" s="147">
        <f t="shared" si="134"/>
        <v>0</v>
      </c>
      <c r="BR49" s="27">
        <f t="shared" si="135"/>
        <v>0</v>
      </c>
      <c r="BS49" s="91">
        <f t="shared" si="76"/>
        <v>0.39025213188861213</v>
      </c>
      <c r="BT49" s="101">
        <f t="shared" si="77"/>
        <v>0.39025213188861213</v>
      </c>
      <c r="BU49" s="206">
        <f t="shared" si="78"/>
        <v>0.39025213188861213</v>
      </c>
      <c r="BV49" s="97">
        <f t="shared" si="79"/>
        <v>0.41534659465793961</v>
      </c>
      <c r="BW49" s="123">
        <f t="shared" si="80"/>
        <v>0.41785149004044614</v>
      </c>
      <c r="BX49" s="91">
        <f t="shared" si="81"/>
        <v>1.110902261485952E-3</v>
      </c>
      <c r="BY49" s="92">
        <f t="shared" si="136"/>
        <v>5.0000000000000001E-3</v>
      </c>
      <c r="BZ49" s="233">
        <f t="shared" si="137"/>
        <v>5.0000000000000001E-3</v>
      </c>
      <c r="CA49" s="92">
        <f t="shared" si="138"/>
        <v>0</v>
      </c>
      <c r="CB49" s="92">
        <f t="shared" si="139"/>
        <v>0</v>
      </c>
      <c r="CC49" s="92">
        <f t="shared" si="140"/>
        <v>0</v>
      </c>
      <c r="CD49" s="92">
        <f t="shared" si="141"/>
        <v>0</v>
      </c>
      <c r="CE49" s="127">
        <f t="shared" si="82"/>
        <v>1.1110902261485953E-2</v>
      </c>
      <c r="CF49" s="91">
        <f t="shared" si="83"/>
        <v>4.6023093690132286E-3</v>
      </c>
      <c r="CG49" s="92">
        <f t="shared" si="142"/>
        <v>0.17760204081632655</v>
      </c>
      <c r="CH49" s="92">
        <f t="shared" si="143"/>
        <v>5.5744520030234319E-3</v>
      </c>
      <c r="CI49" s="92">
        <f t="shared" si="144"/>
        <v>0.2646</v>
      </c>
      <c r="CJ49" s="93">
        <f t="shared" si="145"/>
        <v>0.09</v>
      </c>
      <c r="CK49" s="127">
        <f t="shared" si="84"/>
        <v>0.54237880218836321</v>
      </c>
      <c r="CL49" s="91">
        <f t="shared" si="146"/>
        <v>0.15</v>
      </c>
      <c r="CM49" s="92">
        <f t="shared" si="147"/>
        <v>0.15</v>
      </c>
      <c r="CN49" s="92">
        <f t="shared" si="148"/>
        <v>0</v>
      </c>
      <c r="CO49" s="92">
        <f t="shared" si="149"/>
        <v>0</v>
      </c>
      <c r="CP49" s="92">
        <f t="shared" si="150"/>
        <v>0</v>
      </c>
      <c r="CQ49" s="92">
        <f t="shared" si="151"/>
        <v>0</v>
      </c>
      <c r="CR49" s="127">
        <f t="shared" si="85"/>
        <v>0.3</v>
      </c>
      <c r="CS49" s="92">
        <f t="shared" si="86"/>
        <v>0.85348970444984906</v>
      </c>
      <c r="CT49" s="92">
        <f t="shared" si="152"/>
        <v>5.8534897044498493</v>
      </c>
      <c r="CU49" s="93">
        <f t="shared" si="153"/>
        <v>0.85419130338590621</v>
      </c>
      <c r="CV49">
        <f t="shared" si="87"/>
        <v>44.1</v>
      </c>
    </row>
    <row r="50" spans="1:100" ht="15.75" thickBot="1" x14ac:dyDescent="0.3">
      <c r="A50" s="12" t="s">
        <v>404</v>
      </c>
      <c r="B50" s="176">
        <f>COUT5_FBB</f>
        <v>0</v>
      </c>
      <c r="C50" s="12" t="s">
        <v>351</v>
      </c>
      <c r="K50">
        <v>46</v>
      </c>
      <c r="L50" s="91">
        <f t="shared" si="88"/>
        <v>44.88</v>
      </c>
      <c r="M50" s="93">
        <f t="shared" si="89"/>
        <v>0.12378688849277084</v>
      </c>
      <c r="N50" s="122">
        <f t="shared" si="66"/>
        <v>1.8733299934028106E-4</v>
      </c>
      <c r="O50" s="97">
        <f t="shared" si="67"/>
        <v>1.6859969940625298E-4</v>
      </c>
      <c r="P50" s="123">
        <f t="shared" si="68"/>
        <v>1.5327245400568451E-4</v>
      </c>
      <c r="Q50" s="127">
        <f t="shared" si="69"/>
        <v>0.16703786191536749</v>
      </c>
      <c r="R50" s="91">
        <f t="shared" si="70"/>
        <v>0.74107083911005478</v>
      </c>
      <c r="S50" s="92">
        <f t="shared" si="90"/>
        <v>0.17233699408647571</v>
      </c>
      <c r="T50" s="92">
        <f t="shared" si="71"/>
        <v>0.82723933615329259</v>
      </c>
      <c r="U50" s="92">
        <f t="shared" si="91"/>
        <v>0.95457943158953917</v>
      </c>
      <c r="V50" s="118">
        <f t="shared" si="72"/>
        <v>0.30355933947856417</v>
      </c>
      <c r="W50" s="103">
        <f t="shared" si="73"/>
        <v>0.27717337321961588</v>
      </c>
      <c r="X50" s="117">
        <f t="shared" si="92"/>
        <v>0.60026737967914445</v>
      </c>
      <c r="Y50" s="103">
        <f t="shared" si="93"/>
        <v>0.27597860749993941</v>
      </c>
      <c r="Z50" s="103">
        <f t="shared" si="94"/>
        <v>0.5526486350687394</v>
      </c>
      <c r="AA50" s="118">
        <f t="shared" si="95"/>
        <v>0.33214594248141305</v>
      </c>
      <c r="AB50" s="117">
        <f t="shared" si="96"/>
        <v>0.60026737967914445</v>
      </c>
      <c r="AC50" s="103">
        <f t="shared" si="97"/>
        <v>0.27597860749993941</v>
      </c>
      <c r="AD50" s="103">
        <f t="shared" si="98"/>
        <v>0.5526486350687394</v>
      </c>
      <c r="AE50" s="118">
        <f t="shared" si="99"/>
        <v>0.23541561936995745</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163">
        <f t="shared" si="116"/>
        <v>4.7981689981833678E-2</v>
      </c>
      <c r="AW50" s="143">
        <f t="shared" si="74"/>
        <v>0</v>
      </c>
      <c r="AX50" s="154">
        <f t="shared" si="117"/>
        <v>0</v>
      </c>
      <c r="AY50" s="155">
        <v>46</v>
      </c>
      <c r="AZ50" s="156">
        <f t="shared" si="118"/>
        <v>0</v>
      </c>
      <c r="BA50" s="157">
        <f t="shared" si="119"/>
        <v>68.542431913565096</v>
      </c>
      <c r="BB50" s="158">
        <f t="shared" si="120"/>
        <v>2.5292157376105521E-2</v>
      </c>
      <c r="BC50" s="157">
        <f t="shared" si="75"/>
        <v>75.339780475517401</v>
      </c>
      <c r="BD50" s="159">
        <f t="shared" si="121"/>
        <v>2.7800378995465919E-2</v>
      </c>
      <c r="BE50" s="24">
        <f t="shared" si="122"/>
        <v>5.1595822262310567E-3</v>
      </c>
      <c r="BF50" s="27">
        <f t="shared" si="123"/>
        <v>2.5868322058473975E-2</v>
      </c>
      <c r="BG50" s="24">
        <f t="shared" si="124"/>
        <v>8.0579089006279261E-2</v>
      </c>
      <c r="BH50" s="61">
        <f t="shared" si="125"/>
        <v>9.8442027077304387E-2</v>
      </c>
      <c r="BI50" s="24">
        <f t="shared" si="126"/>
        <v>8.0579089006279261E-2</v>
      </c>
      <c r="BJ50" s="27">
        <f t="shared" si="127"/>
        <v>9.8442027077304387E-2</v>
      </c>
      <c r="BK50" s="24">
        <f t="shared" si="128"/>
        <v>0</v>
      </c>
      <c r="BL50" s="27">
        <f t="shared" si="129"/>
        <v>0</v>
      </c>
      <c r="BM50" s="24">
        <f t="shared" si="130"/>
        <v>0</v>
      </c>
      <c r="BN50" s="27">
        <f t="shared" si="131"/>
        <v>0</v>
      </c>
      <c r="BO50" s="24">
        <f t="shared" si="132"/>
        <v>0</v>
      </c>
      <c r="BP50" s="27">
        <f t="shared" si="133"/>
        <v>0</v>
      </c>
      <c r="BQ50" s="147">
        <f t="shared" si="134"/>
        <v>0</v>
      </c>
      <c r="BR50" s="27">
        <f t="shared" si="135"/>
        <v>0</v>
      </c>
      <c r="BS50" s="91">
        <f t="shared" si="76"/>
        <v>0.38907013645187233</v>
      </c>
      <c r="BT50" s="101">
        <f t="shared" si="77"/>
        <v>0.38907013645187233</v>
      </c>
      <c r="BU50" s="206">
        <f t="shared" si="78"/>
        <v>0.38907013645187233</v>
      </c>
      <c r="BV50" s="97">
        <f t="shared" si="79"/>
        <v>0.41436229382797785</v>
      </c>
      <c r="BW50" s="123">
        <f t="shared" si="80"/>
        <v>0.41687051544733822</v>
      </c>
      <c r="BX50" s="91">
        <f t="shared" si="81"/>
        <v>1.0726235633905178E-3</v>
      </c>
      <c r="BY50" s="92">
        <f t="shared" si="136"/>
        <v>5.0000000000000001E-3</v>
      </c>
      <c r="BZ50" s="233">
        <f t="shared" si="137"/>
        <v>5.0000000000000001E-3</v>
      </c>
      <c r="CA50" s="92">
        <f t="shared" si="138"/>
        <v>0</v>
      </c>
      <c r="CB50" s="92">
        <f t="shared" si="139"/>
        <v>0</v>
      </c>
      <c r="CC50" s="92">
        <f t="shared" si="140"/>
        <v>0</v>
      </c>
      <c r="CD50" s="92">
        <f t="shared" si="141"/>
        <v>0</v>
      </c>
      <c r="CE50" s="127">
        <f t="shared" si="82"/>
        <v>1.1072623563390518E-2</v>
      </c>
      <c r="CF50" s="91">
        <f t="shared" si="83"/>
        <v>4.4437261911892878E-3</v>
      </c>
      <c r="CG50" s="92">
        <f t="shared" si="142"/>
        <v>0.1796800356506239</v>
      </c>
      <c r="CH50" s="92">
        <f t="shared" si="143"/>
        <v>5.5580312933254114E-3</v>
      </c>
      <c r="CI50" s="92">
        <f t="shared" si="144"/>
        <v>0.26928000000000002</v>
      </c>
      <c r="CJ50" s="93">
        <f t="shared" si="145"/>
        <v>0.09</v>
      </c>
      <c r="CK50" s="127">
        <f t="shared" si="84"/>
        <v>0.5489617931351386</v>
      </c>
      <c r="CL50" s="91">
        <f t="shared" si="146"/>
        <v>0.15</v>
      </c>
      <c r="CM50" s="92">
        <f t="shared" si="147"/>
        <v>0.15</v>
      </c>
      <c r="CN50" s="92">
        <f t="shared" si="148"/>
        <v>0</v>
      </c>
      <c r="CO50" s="92">
        <f t="shared" si="149"/>
        <v>0</v>
      </c>
      <c r="CP50" s="92">
        <f t="shared" si="150"/>
        <v>0</v>
      </c>
      <c r="CQ50" s="92">
        <f t="shared" si="151"/>
        <v>0</v>
      </c>
      <c r="CR50" s="127">
        <f t="shared" si="85"/>
        <v>0.3</v>
      </c>
      <c r="CS50" s="92">
        <f t="shared" si="86"/>
        <v>0.86003441669852909</v>
      </c>
      <c r="CT50" s="92">
        <f t="shared" si="152"/>
        <v>5.8600344166985288</v>
      </c>
      <c r="CU50" s="93">
        <f t="shared" si="153"/>
        <v>0.8532373096226521</v>
      </c>
      <c r="CV50">
        <f t="shared" si="87"/>
        <v>44.88</v>
      </c>
    </row>
    <row r="51" spans="1:100" ht="15.75" thickBot="1" x14ac:dyDescent="0.3">
      <c r="A51" s="12" t="s">
        <v>405</v>
      </c>
      <c r="B51" s="176">
        <f>IF(AND(Vout6&lt;&gt;0,Iout6&lt;&gt;0),(Iout6*B10)/(Vout6_Ripple*(10^-3)),0)</f>
        <v>0</v>
      </c>
      <c r="C51" s="12" t="s">
        <v>351</v>
      </c>
      <c r="K51">
        <v>47</v>
      </c>
      <c r="L51" s="91">
        <f t="shared" si="88"/>
        <v>45.660000000000004</v>
      </c>
      <c r="M51" s="93">
        <f t="shared" si="89"/>
        <v>0.12167226359079183</v>
      </c>
      <c r="N51" s="122">
        <f t="shared" si="66"/>
        <v>1.884066917212602E-4</v>
      </c>
      <c r="O51" s="97">
        <f t="shared" si="67"/>
        <v>1.6956602254913417E-4</v>
      </c>
      <c r="P51" s="123">
        <f t="shared" si="68"/>
        <v>1.5415092959012198E-4</v>
      </c>
      <c r="Q51" s="127">
        <f t="shared" si="69"/>
        <v>0.16465422612513719</v>
      </c>
      <c r="R51" s="91">
        <f t="shared" si="70"/>
        <v>0.73895621420807578</v>
      </c>
      <c r="S51" s="92">
        <f t="shared" si="90"/>
        <v>0.17283016011204058</v>
      </c>
      <c r="T51" s="92">
        <f t="shared" si="71"/>
        <v>0.82537129426409606</v>
      </c>
      <c r="U51" s="92">
        <f t="shared" si="91"/>
        <v>0.9506886831762914</v>
      </c>
      <c r="V51" s="118">
        <f t="shared" si="72"/>
        <v>0.30053341031259884</v>
      </c>
      <c r="W51" s="103">
        <f t="shared" si="73"/>
        <v>0.27480209421839158</v>
      </c>
      <c r="X51" s="117">
        <f t="shared" si="92"/>
        <v>0.59855453350854138</v>
      </c>
      <c r="Y51" s="103">
        <f t="shared" si="93"/>
        <v>0.27676835826542739</v>
      </c>
      <c r="Z51" s="103">
        <f t="shared" si="94"/>
        <v>0.55191449309311769</v>
      </c>
      <c r="AA51" s="118">
        <f t="shared" si="95"/>
        <v>0.32904031604596351</v>
      </c>
      <c r="AB51" s="117">
        <f t="shared" si="96"/>
        <v>0.59855453350854138</v>
      </c>
      <c r="AC51" s="103">
        <f t="shared" si="97"/>
        <v>0.27676835826542739</v>
      </c>
      <c r="AD51" s="103">
        <f t="shared" si="98"/>
        <v>0.55191449309311769</v>
      </c>
      <c r="AE51" s="118">
        <f t="shared" si="99"/>
        <v>0.23368698655730291</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163">
        <f t="shared" si="116"/>
        <v>4.8118996190948324E-2</v>
      </c>
      <c r="AW51" s="143">
        <f t="shared" si="74"/>
        <v>0</v>
      </c>
      <c r="AX51" s="154">
        <f t="shared" si="117"/>
        <v>0</v>
      </c>
      <c r="AY51" s="155">
        <v>47</v>
      </c>
      <c r="AZ51" s="156">
        <f t="shared" si="118"/>
        <v>0</v>
      </c>
      <c r="BA51" s="157">
        <f t="shared" si="119"/>
        <v>69.065413894387063</v>
      </c>
      <c r="BB51" s="158">
        <f t="shared" si="120"/>
        <v>2.5485137727028824E-2</v>
      </c>
      <c r="BC51" s="157">
        <f t="shared" si="75"/>
        <v>75.871252958796944</v>
      </c>
      <c r="BD51" s="159">
        <f t="shared" si="121"/>
        <v>2.7996492341796072E-2</v>
      </c>
      <c r="BE51" s="24">
        <f t="shared" si="122"/>
        <v>4.9848078275613926E-3</v>
      </c>
      <c r="BF51" s="27">
        <f t="shared" si="123"/>
        <v>2.5427597068969545E-2</v>
      </c>
      <c r="BG51" s="24">
        <f t="shared" si="124"/>
        <v>8.0579089006279261E-2</v>
      </c>
      <c r="BH51" s="61">
        <f t="shared" si="125"/>
        <v>9.8180658759667125E-2</v>
      </c>
      <c r="BI51" s="24">
        <f t="shared" si="126"/>
        <v>8.0579089006279261E-2</v>
      </c>
      <c r="BJ51" s="27">
        <f t="shared" si="127"/>
        <v>9.8180658759667125E-2</v>
      </c>
      <c r="BK51" s="24">
        <f t="shared" si="128"/>
        <v>0</v>
      </c>
      <c r="BL51" s="27">
        <f t="shared" si="129"/>
        <v>0</v>
      </c>
      <c r="BM51" s="24">
        <f t="shared" si="130"/>
        <v>0</v>
      </c>
      <c r="BN51" s="27">
        <f t="shared" si="131"/>
        <v>0</v>
      </c>
      <c r="BO51" s="24">
        <f t="shared" si="132"/>
        <v>0</v>
      </c>
      <c r="BP51" s="27">
        <f t="shared" si="133"/>
        <v>0</v>
      </c>
      <c r="BQ51" s="147">
        <f t="shared" si="134"/>
        <v>0</v>
      </c>
      <c r="BR51" s="27">
        <f t="shared" si="135"/>
        <v>0</v>
      </c>
      <c r="BS51" s="91">
        <f t="shared" si="76"/>
        <v>0.38793190042842374</v>
      </c>
      <c r="BT51" s="101">
        <f t="shared" si="77"/>
        <v>0.38793190042842374</v>
      </c>
      <c r="BU51" s="206">
        <f t="shared" si="78"/>
        <v>0.38793190042842374</v>
      </c>
      <c r="BV51" s="97">
        <f t="shared" si="79"/>
        <v>0.41341703815545255</v>
      </c>
      <c r="BW51" s="123">
        <f t="shared" si="80"/>
        <v>0.41592839277021981</v>
      </c>
      <c r="BX51" s="91">
        <f t="shared" si="81"/>
        <v>1.036289780911499E-3</v>
      </c>
      <c r="BY51" s="92">
        <f t="shared" si="136"/>
        <v>5.0000000000000001E-3</v>
      </c>
      <c r="BZ51" s="233">
        <f t="shared" si="137"/>
        <v>5.0000000000000001E-3</v>
      </c>
      <c r="CA51" s="92">
        <f t="shared" si="138"/>
        <v>0</v>
      </c>
      <c r="CB51" s="92">
        <f t="shared" si="139"/>
        <v>0</v>
      </c>
      <c r="CC51" s="92">
        <f t="shared" si="140"/>
        <v>0</v>
      </c>
      <c r="CD51" s="92">
        <f t="shared" si="141"/>
        <v>0</v>
      </c>
      <c r="CE51" s="127">
        <f t="shared" si="82"/>
        <v>1.10362897809115E-2</v>
      </c>
      <c r="CF51" s="91">
        <f t="shared" si="83"/>
        <v>4.2932005209190671E-3</v>
      </c>
      <c r="CG51" s="92">
        <f t="shared" si="142"/>
        <v>0.18176106000876044</v>
      </c>
      <c r="CH51" s="92">
        <f t="shared" si="143"/>
        <v>5.5421716065605694E-3</v>
      </c>
      <c r="CI51" s="92">
        <f t="shared" si="144"/>
        <v>0.27396000000000004</v>
      </c>
      <c r="CJ51" s="93">
        <f t="shared" si="145"/>
        <v>0.09</v>
      </c>
      <c r="CK51" s="127">
        <f t="shared" si="84"/>
        <v>0.55555643213624006</v>
      </c>
      <c r="CL51" s="91">
        <f t="shared" si="146"/>
        <v>0.15</v>
      </c>
      <c r="CM51" s="92">
        <f t="shared" si="147"/>
        <v>0.15</v>
      </c>
      <c r="CN51" s="92">
        <f t="shared" si="148"/>
        <v>0</v>
      </c>
      <c r="CO51" s="92">
        <f t="shared" si="149"/>
        <v>0</v>
      </c>
      <c r="CP51" s="92">
        <f t="shared" si="150"/>
        <v>0</v>
      </c>
      <c r="CQ51" s="92">
        <f t="shared" si="151"/>
        <v>0</v>
      </c>
      <c r="CR51" s="127">
        <f t="shared" si="85"/>
        <v>0.3</v>
      </c>
      <c r="CS51" s="92">
        <f t="shared" si="86"/>
        <v>0.86659272191715164</v>
      </c>
      <c r="CT51" s="92">
        <f t="shared" si="152"/>
        <v>5.8665927219171516</v>
      </c>
      <c r="CU51" s="93">
        <f t="shared" si="153"/>
        <v>0.85228346963994517</v>
      </c>
      <c r="CV51">
        <f t="shared" si="87"/>
        <v>45.660000000000004</v>
      </c>
    </row>
    <row r="52" spans="1:100" ht="15.75" thickBot="1" x14ac:dyDescent="0.3">
      <c r="A52" s="12" t="s">
        <v>406</v>
      </c>
      <c r="B52" s="176">
        <f>COUT6_FBB</f>
        <v>0</v>
      </c>
      <c r="C52" s="12" t="s">
        <v>351</v>
      </c>
      <c r="K52">
        <v>48</v>
      </c>
      <c r="L52" s="91">
        <f t="shared" si="88"/>
        <v>46.44</v>
      </c>
      <c r="M52" s="93">
        <f t="shared" si="89"/>
        <v>0.11962867260024883</v>
      </c>
      <c r="N52" s="122">
        <f t="shared" si="66"/>
        <v>1.8945311182324166E-4</v>
      </c>
      <c r="O52" s="97">
        <f t="shared" si="67"/>
        <v>1.705078006409175E-4</v>
      </c>
      <c r="P52" s="123">
        <f t="shared" si="68"/>
        <v>1.5500709149174317E-4</v>
      </c>
      <c r="Q52" s="127">
        <f t="shared" si="69"/>
        <v>0.16233766233766234</v>
      </c>
      <c r="R52" s="91">
        <f t="shared" si="70"/>
        <v>0.73691262321753281</v>
      </c>
      <c r="S52" s="92">
        <f t="shared" si="90"/>
        <v>0.17330944917151814</v>
      </c>
      <c r="T52" s="92">
        <f t="shared" si="71"/>
        <v>0.82356734780329188</v>
      </c>
      <c r="U52" s="92">
        <f t="shared" si="91"/>
        <v>0.9469129813860987</v>
      </c>
      <c r="V52" s="118">
        <f t="shared" si="72"/>
        <v>0.29759403949202923</v>
      </c>
      <c r="W52" s="103">
        <f t="shared" si="73"/>
        <v>0.2724907210036443</v>
      </c>
      <c r="X52" s="117">
        <f t="shared" si="92"/>
        <v>0.5968992248062015</v>
      </c>
      <c r="Y52" s="103">
        <f t="shared" si="93"/>
        <v>0.27753588660677814</v>
      </c>
      <c r="Z52" s="103">
        <f t="shared" si="94"/>
        <v>0.55120453471482977</v>
      </c>
      <c r="AA52" s="118">
        <f t="shared" si="95"/>
        <v>0.32601945428799839</v>
      </c>
      <c r="AB52" s="117">
        <f t="shared" si="96"/>
        <v>0.5968992248062015</v>
      </c>
      <c r="AC52" s="103">
        <f t="shared" si="97"/>
        <v>0.27753588660677814</v>
      </c>
      <c r="AD52" s="103">
        <f t="shared" si="98"/>
        <v>0.55120453471482977</v>
      </c>
      <c r="AE52" s="118">
        <f t="shared" si="99"/>
        <v>0.2320052566003451</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163">
        <f t="shared" si="116"/>
        <v>4.8252438805434193E-2</v>
      </c>
      <c r="AW52" s="143">
        <f t="shared" si="74"/>
        <v>0</v>
      </c>
      <c r="AX52" s="154">
        <f t="shared" si="117"/>
        <v>0</v>
      </c>
      <c r="AY52" s="155">
        <v>48</v>
      </c>
      <c r="AZ52" s="156">
        <f t="shared" si="118"/>
        <v>0</v>
      </c>
      <c r="BA52" s="157">
        <f t="shared" si="119"/>
        <v>69.576059184965359</v>
      </c>
      <c r="BB52" s="158">
        <f t="shared" si="120"/>
        <v>2.5673565839252215E-2</v>
      </c>
      <c r="BC52" s="157">
        <f t="shared" si="75"/>
        <v>76.389896561961208</v>
      </c>
      <c r="BD52" s="159">
        <f t="shared" si="121"/>
        <v>2.8187871831363686E-2</v>
      </c>
      <c r="BE52" s="24">
        <f t="shared" si="122"/>
        <v>4.8187657223877798E-3</v>
      </c>
      <c r="BF52" s="27">
        <f t="shared" si="123"/>
        <v>2.5001650555511533E-2</v>
      </c>
      <c r="BG52" s="24">
        <f t="shared" si="124"/>
        <v>8.0579089006279261E-2</v>
      </c>
      <c r="BH52" s="61">
        <f t="shared" si="125"/>
        <v>9.7928230711637851E-2</v>
      </c>
      <c r="BI52" s="24">
        <f t="shared" si="126"/>
        <v>8.0579089006279261E-2</v>
      </c>
      <c r="BJ52" s="27">
        <f t="shared" si="127"/>
        <v>9.7928230711637851E-2</v>
      </c>
      <c r="BK52" s="24">
        <f t="shared" si="128"/>
        <v>0</v>
      </c>
      <c r="BL52" s="27">
        <f t="shared" si="129"/>
        <v>0</v>
      </c>
      <c r="BM52" s="24">
        <f t="shared" si="130"/>
        <v>0</v>
      </c>
      <c r="BN52" s="27">
        <f t="shared" si="131"/>
        <v>0</v>
      </c>
      <c r="BO52" s="24">
        <f t="shared" si="132"/>
        <v>0</v>
      </c>
      <c r="BP52" s="27">
        <f t="shared" si="133"/>
        <v>0</v>
      </c>
      <c r="BQ52" s="147">
        <f t="shared" si="134"/>
        <v>0</v>
      </c>
      <c r="BR52" s="27">
        <f t="shared" si="135"/>
        <v>0</v>
      </c>
      <c r="BS52" s="91">
        <f t="shared" si="76"/>
        <v>0.38683505571373356</v>
      </c>
      <c r="BT52" s="101">
        <f t="shared" si="77"/>
        <v>0.38683505571373356</v>
      </c>
      <c r="BU52" s="206">
        <f t="shared" si="78"/>
        <v>0.38683505571373356</v>
      </c>
      <c r="BV52" s="97">
        <f t="shared" si="79"/>
        <v>0.41250862155298579</v>
      </c>
      <c r="BW52" s="123">
        <f t="shared" si="80"/>
        <v>0.41502292754509723</v>
      </c>
      <c r="BX52" s="91">
        <f t="shared" si="81"/>
        <v>1.0017713515668269E-3</v>
      </c>
      <c r="BY52" s="92">
        <f t="shared" si="136"/>
        <v>5.0000000000000001E-3</v>
      </c>
      <c r="BZ52" s="233">
        <f t="shared" si="137"/>
        <v>5.0000000000000001E-3</v>
      </c>
      <c r="CA52" s="92">
        <f t="shared" si="138"/>
        <v>0</v>
      </c>
      <c r="CB52" s="92">
        <f t="shared" si="139"/>
        <v>0</v>
      </c>
      <c r="CC52" s="92">
        <f t="shared" si="140"/>
        <v>0</v>
      </c>
      <c r="CD52" s="92">
        <f t="shared" si="141"/>
        <v>0</v>
      </c>
      <c r="CE52" s="127">
        <f t="shared" si="82"/>
        <v>1.1001771351566828E-2</v>
      </c>
      <c r="CF52" s="91">
        <f t="shared" si="83"/>
        <v>4.1501955993482817E-3</v>
      </c>
      <c r="CG52" s="92">
        <f t="shared" si="142"/>
        <v>0.18384496124031013</v>
      </c>
      <c r="CH52" s="92">
        <f t="shared" si="143"/>
        <v>5.5268446741314967E-3</v>
      </c>
      <c r="CI52" s="92">
        <f t="shared" si="144"/>
        <v>0.27864</v>
      </c>
      <c r="CJ52" s="93">
        <f t="shared" si="145"/>
        <v>0.09</v>
      </c>
      <c r="CK52" s="127">
        <f t="shared" si="84"/>
        <v>0.56216200151378992</v>
      </c>
      <c r="CL52" s="91">
        <f t="shared" si="146"/>
        <v>0.15</v>
      </c>
      <c r="CM52" s="92">
        <f t="shared" si="147"/>
        <v>0.15</v>
      </c>
      <c r="CN52" s="92">
        <f t="shared" si="148"/>
        <v>0</v>
      </c>
      <c r="CO52" s="92">
        <f t="shared" si="149"/>
        <v>0</v>
      </c>
      <c r="CP52" s="92">
        <f t="shared" si="150"/>
        <v>0</v>
      </c>
      <c r="CQ52" s="92">
        <f t="shared" si="151"/>
        <v>0</v>
      </c>
      <c r="CR52" s="127">
        <f t="shared" si="85"/>
        <v>0.3</v>
      </c>
      <c r="CS52" s="92">
        <f t="shared" si="86"/>
        <v>0.87316377286535674</v>
      </c>
      <c r="CT52" s="92">
        <f t="shared" si="152"/>
        <v>5.8731637728653565</v>
      </c>
      <c r="CU52" s="93">
        <f t="shared" si="153"/>
        <v>0.85132991235499578</v>
      </c>
      <c r="CV52">
        <f t="shared" si="87"/>
        <v>46.44</v>
      </c>
    </row>
    <row r="53" spans="1:100" ht="15.75" thickBot="1" x14ac:dyDescent="0.3">
      <c r="A53" s="310" t="s">
        <v>432</v>
      </c>
      <c r="B53" s="310"/>
      <c r="C53" s="310"/>
      <c r="K53">
        <v>49</v>
      </c>
      <c r="L53" s="91">
        <f t="shared" si="88"/>
        <v>47.22</v>
      </c>
      <c r="M53" s="93">
        <f t="shared" si="89"/>
        <v>0.11765259541625489</v>
      </c>
      <c r="N53" s="122">
        <f t="shared" si="66"/>
        <v>1.9047327411332289E-4</v>
      </c>
      <c r="O53" s="97">
        <f t="shared" si="67"/>
        <v>1.7142594670199062E-4</v>
      </c>
      <c r="P53" s="123">
        <f t="shared" si="68"/>
        <v>1.5584176972908235E-4</v>
      </c>
      <c r="Q53" s="127">
        <f t="shared" si="69"/>
        <v>0.16008537886873</v>
      </c>
      <c r="R53" s="91">
        <f t="shared" si="70"/>
        <v>0.73493654603353886</v>
      </c>
      <c r="S53" s="92">
        <f t="shared" si="90"/>
        <v>0.17377543885474553</v>
      </c>
      <c r="T53" s="92">
        <f t="shared" si="71"/>
        <v>0.82182426546091158</v>
      </c>
      <c r="U53" s="92">
        <f t="shared" si="91"/>
        <v>0.94324696831148125</v>
      </c>
      <c r="V53" s="118">
        <f t="shared" si="72"/>
        <v>0.29473724852992927</v>
      </c>
      <c r="W53" s="103">
        <f t="shared" si="73"/>
        <v>0.27023677111528016</v>
      </c>
      <c r="X53" s="117">
        <f t="shared" si="92"/>
        <v>0.59529860228716647</v>
      </c>
      <c r="Y53" s="103">
        <f t="shared" si="93"/>
        <v>0.27828211747014053</v>
      </c>
      <c r="Z53" s="103">
        <f t="shared" si="94"/>
        <v>0.55051758894868585</v>
      </c>
      <c r="AA53" s="118">
        <f t="shared" si="95"/>
        <v>0.32307959682569554</v>
      </c>
      <c r="AB53" s="117">
        <f t="shared" si="96"/>
        <v>0.59529860228716647</v>
      </c>
      <c r="AC53" s="103">
        <f t="shared" si="97"/>
        <v>0.27828211747014053</v>
      </c>
      <c r="AD53" s="103">
        <f t="shared" si="98"/>
        <v>0.55051758894868585</v>
      </c>
      <c r="AE53" s="118">
        <f t="shared" si="99"/>
        <v>0.23036843477758459</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163">
        <f t="shared" si="116"/>
        <v>4.8382178636593894E-2</v>
      </c>
      <c r="AW53" s="143">
        <f t="shared" si="74"/>
        <v>0</v>
      </c>
      <c r="AX53" s="154">
        <f t="shared" si="117"/>
        <v>0</v>
      </c>
      <c r="AY53" s="155">
        <v>49</v>
      </c>
      <c r="AZ53" s="156">
        <f t="shared" si="118"/>
        <v>0</v>
      </c>
      <c r="BA53" s="157">
        <f t="shared" si="119"/>
        <v>70.074787725107143</v>
      </c>
      <c r="BB53" s="158">
        <f t="shared" si="120"/>
        <v>2.5857596670564538E-2</v>
      </c>
      <c r="BC53" s="157">
        <f t="shared" si="75"/>
        <v>76.896160553489423</v>
      </c>
      <c r="BD53" s="159">
        <f t="shared" si="121"/>
        <v>2.8374683244237597E-2</v>
      </c>
      <c r="BE53" s="24">
        <f t="shared" si="122"/>
        <v>4.660883728286663E-3</v>
      </c>
      <c r="BF53" s="27">
        <f t="shared" si="123"/>
        <v>2.458975100077038E-2</v>
      </c>
      <c r="BG53" s="24">
        <f t="shared" si="124"/>
        <v>8.0579089006279261E-2</v>
      </c>
      <c r="BH53" s="61">
        <f t="shared" si="125"/>
        <v>9.7684294167853361E-2</v>
      </c>
      <c r="BI53" s="24">
        <f t="shared" si="126"/>
        <v>8.0579089006279261E-2</v>
      </c>
      <c r="BJ53" s="27">
        <f t="shared" si="127"/>
        <v>9.7684294167853361E-2</v>
      </c>
      <c r="BK53" s="24">
        <f t="shared" si="128"/>
        <v>0</v>
      </c>
      <c r="BL53" s="27">
        <f t="shared" si="129"/>
        <v>0</v>
      </c>
      <c r="BM53" s="24">
        <f t="shared" si="130"/>
        <v>0</v>
      </c>
      <c r="BN53" s="27">
        <f t="shared" si="131"/>
        <v>0</v>
      </c>
      <c r="BO53" s="24">
        <f t="shared" si="132"/>
        <v>0</v>
      </c>
      <c r="BP53" s="27">
        <f t="shared" si="133"/>
        <v>0</v>
      </c>
      <c r="BQ53" s="147">
        <f t="shared" si="134"/>
        <v>0</v>
      </c>
      <c r="BR53" s="27">
        <f t="shared" si="135"/>
        <v>0</v>
      </c>
      <c r="BS53" s="91">
        <f t="shared" si="76"/>
        <v>0.38577740107732228</v>
      </c>
      <c r="BT53" s="101">
        <f t="shared" si="77"/>
        <v>0.38577740107732228</v>
      </c>
      <c r="BU53" s="206">
        <f t="shared" si="78"/>
        <v>0.38577740107732228</v>
      </c>
      <c r="BV53" s="97">
        <f t="shared" si="79"/>
        <v>0.41163499774788681</v>
      </c>
      <c r="BW53" s="123">
        <f t="shared" si="80"/>
        <v>0.41415208432155987</v>
      </c>
      <c r="BX53" s="91">
        <f t="shared" si="81"/>
        <v>9.6894932457266744E-4</v>
      </c>
      <c r="BY53" s="92">
        <f t="shared" si="136"/>
        <v>5.0000000000000001E-3</v>
      </c>
      <c r="BZ53" s="233">
        <f t="shared" si="137"/>
        <v>5.0000000000000001E-3</v>
      </c>
      <c r="CA53" s="92">
        <f t="shared" si="138"/>
        <v>0</v>
      </c>
      <c r="CB53" s="92">
        <f t="shared" si="139"/>
        <v>0</v>
      </c>
      <c r="CC53" s="92">
        <f t="shared" si="140"/>
        <v>0</v>
      </c>
      <c r="CD53" s="92">
        <f t="shared" si="141"/>
        <v>0</v>
      </c>
      <c r="CE53" s="127">
        <f t="shared" si="82"/>
        <v>1.0968949324572668E-2</v>
      </c>
      <c r="CF53" s="91">
        <f t="shared" si="83"/>
        <v>4.014218630372479E-3</v>
      </c>
      <c r="CG53" s="92">
        <f t="shared" si="142"/>
        <v>0.18593159678102503</v>
      </c>
      <c r="CH53" s="92">
        <f t="shared" si="143"/>
        <v>5.5120240952515418E-3</v>
      </c>
      <c r="CI53" s="92">
        <f t="shared" si="144"/>
        <v>0.28332000000000002</v>
      </c>
      <c r="CJ53" s="93">
        <f t="shared" si="145"/>
        <v>0.09</v>
      </c>
      <c r="CK53" s="127">
        <f t="shared" si="84"/>
        <v>0.56877783950664906</v>
      </c>
      <c r="CL53" s="91">
        <f t="shared" si="146"/>
        <v>0.15</v>
      </c>
      <c r="CM53" s="92">
        <f t="shared" si="147"/>
        <v>0.15</v>
      </c>
      <c r="CN53" s="92">
        <f t="shared" si="148"/>
        <v>0</v>
      </c>
      <c r="CO53" s="92">
        <f t="shared" si="149"/>
        <v>0</v>
      </c>
      <c r="CP53" s="92">
        <f t="shared" si="150"/>
        <v>0</v>
      </c>
      <c r="CQ53" s="92">
        <f t="shared" si="151"/>
        <v>0</v>
      </c>
      <c r="CR53" s="127">
        <f t="shared" si="85"/>
        <v>0.3</v>
      </c>
      <c r="CS53" s="92">
        <f t="shared" si="86"/>
        <v>0.8797467888312217</v>
      </c>
      <c r="CT53" s="92">
        <f t="shared" si="152"/>
        <v>5.8797467888312216</v>
      </c>
      <c r="CU53" s="93">
        <f t="shared" si="153"/>
        <v>0.85037675593405992</v>
      </c>
      <c r="CV53">
        <f t="shared" si="87"/>
        <v>47.22</v>
      </c>
    </row>
    <row r="54" spans="1:100" ht="15.75" thickBot="1" x14ac:dyDescent="0.3">
      <c r="A54" s="204" t="s">
        <v>441</v>
      </c>
      <c r="B54" s="12">
        <f>IF(AND(Vout1&lt;&gt;0,Iout1&lt;&gt;0,Ns1_FlyBB&lt;&gt;0),ABS(Vout1)+((Ns1_FlyBB/Np)*VinMax),0)</f>
        <v>33.271999999999998</v>
      </c>
      <c r="C54" s="12"/>
      <c r="K54">
        <v>50</v>
      </c>
      <c r="L54" s="104">
        <f t="shared" si="88"/>
        <v>48</v>
      </c>
      <c r="M54" s="108">
        <f t="shared" si="89"/>
        <v>0.11574074074074073</v>
      </c>
      <c r="N54" s="124">
        <f t="shared" si="66"/>
        <v>1.9146814404432132E-4</v>
      </c>
      <c r="O54" s="125">
        <f t="shared" si="67"/>
        <v>1.7232132963988922E-4</v>
      </c>
      <c r="P54" s="126">
        <f t="shared" si="68"/>
        <v>1.5665575421808109E-4</v>
      </c>
      <c r="Q54" s="128">
        <f t="shared" si="69"/>
        <v>0.15789473684210525</v>
      </c>
      <c r="R54" s="104">
        <f>M54/(Q54)</f>
        <v>0.73302469135802462</v>
      </c>
      <c r="S54" s="106">
        <f t="shared" si="90"/>
        <v>0.17422867513611615</v>
      </c>
      <c r="T54" s="106">
        <f t="shared" si="71"/>
        <v>0.8201390289260827</v>
      </c>
      <c r="U54" s="106">
        <f t="shared" si="91"/>
        <v>0.93968562154423996</v>
      </c>
      <c r="V54" s="121">
        <f t="shared" si="72"/>
        <v>0.29195930702677181</v>
      </c>
      <c r="W54" s="120">
        <f t="shared" si="73"/>
        <v>0.26803790383514314</v>
      </c>
      <c r="X54" s="119">
        <f t="shared" si="92"/>
        <v>0.59375</v>
      </c>
      <c r="Y54" s="120">
        <f t="shared" si="93"/>
        <v>0.27900792517303191</v>
      </c>
      <c r="Z54" s="120">
        <f t="shared" si="94"/>
        <v>0.54985255901313079</v>
      </c>
      <c r="AA54" s="121">
        <f t="shared" si="95"/>
        <v>0.32021721143623744</v>
      </c>
      <c r="AB54" s="119">
        <f t="shared" si="96"/>
        <v>0.59375</v>
      </c>
      <c r="AC54" s="120">
        <f t="shared" si="97"/>
        <v>0.27900792517303191</v>
      </c>
      <c r="AD54" s="120">
        <f t="shared" si="98"/>
        <v>0.54985255901313079</v>
      </c>
      <c r="AE54" s="121">
        <f t="shared" si="99"/>
        <v>0.22877464163077277</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164">
        <f t="shared" si="116"/>
        <v>4.8508367693427111E-2</v>
      </c>
      <c r="AW54" s="146">
        <f t="shared" si="74"/>
        <v>0</v>
      </c>
      <c r="AX54" s="165">
        <f t="shared" si="117"/>
        <v>0</v>
      </c>
      <c r="AY54" s="166">
        <v>50</v>
      </c>
      <c r="AZ54" s="167">
        <f t="shared" si="118"/>
        <v>0</v>
      </c>
      <c r="BA54" s="168">
        <f t="shared" si="119"/>
        <v>70.562001295827812</v>
      </c>
      <c r="BB54" s="169">
        <f t="shared" si="120"/>
        <v>2.6037378478160463E-2</v>
      </c>
      <c r="BC54" s="168">
        <f t="shared" si="75"/>
        <v>77.390474043058333</v>
      </c>
      <c r="BD54" s="170">
        <f t="shared" si="121"/>
        <v>2.8557084921888524E-2</v>
      </c>
      <c r="BE54" s="171">
        <f t="shared" si="122"/>
        <v>4.5106357717268454E-3</v>
      </c>
      <c r="BF54" s="172">
        <f t="shared" si="123"/>
        <v>2.4191214403018645E-2</v>
      </c>
      <c r="BG54" s="171">
        <f t="shared" si="124"/>
        <v>8.0579089006279261E-2</v>
      </c>
      <c r="BH54" s="173">
        <f t="shared" si="125"/>
        <v>9.7448429798605019E-2</v>
      </c>
      <c r="BI54" s="171">
        <f t="shared" si="126"/>
        <v>8.0579089006279261E-2</v>
      </c>
      <c r="BJ54" s="172">
        <f t="shared" si="127"/>
        <v>9.7448429798605019E-2</v>
      </c>
      <c r="BK54" s="171">
        <f t="shared" si="128"/>
        <v>0</v>
      </c>
      <c r="BL54" s="172">
        <f t="shared" si="129"/>
        <v>0</v>
      </c>
      <c r="BM54" s="171">
        <f t="shared" si="130"/>
        <v>0</v>
      </c>
      <c r="BN54" s="172">
        <f t="shared" si="131"/>
        <v>0</v>
      </c>
      <c r="BO54" s="171">
        <f t="shared" si="132"/>
        <v>0</v>
      </c>
      <c r="BP54" s="172">
        <f t="shared" si="133"/>
        <v>0</v>
      </c>
      <c r="BQ54" s="174">
        <f t="shared" si="134"/>
        <v>0</v>
      </c>
      <c r="BR54" s="172">
        <f t="shared" si="135"/>
        <v>0</v>
      </c>
      <c r="BS54" s="104">
        <f t="shared" si="76"/>
        <v>0.38475688778451406</v>
      </c>
      <c r="BT54" s="236">
        <f t="shared" si="77"/>
        <v>0.38475688778451406</v>
      </c>
      <c r="BU54" s="226">
        <f t="shared" si="78"/>
        <v>0.38475688778451406</v>
      </c>
      <c r="BV54" s="125">
        <f t="shared" si="79"/>
        <v>0.41079426626267451</v>
      </c>
      <c r="BW54" s="126">
        <f t="shared" si="80"/>
        <v>0.41331397270640258</v>
      </c>
      <c r="BX54" s="104">
        <f t="shared" si="81"/>
        <v>9.3771433470507537E-4</v>
      </c>
      <c r="BY54" s="106">
        <f t="shared" si="136"/>
        <v>5.0000000000000001E-3</v>
      </c>
      <c r="BZ54" s="234">
        <f t="shared" si="137"/>
        <v>5.0000000000000001E-3</v>
      </c>
      <c r="CA54" s="106">
        <f t="shared" si="138"/>
        <v>0</v>
      </c>
      <c r="CB54" s="106">
        <f t="shared" si="139"/>
        <v>0</v>
      </c>
      <c r="CC54" s="106">
        <f t="shared" si="140"/>
        <v>0</v>
      </c>
      <c r="CD54" s="106">
        <f t="shared" si="141"/>
        <v>0</v>
      </c>
      <c r="CE54" s="128">
        <f t="shared" si="82"/>
        <v>1.0937714334705076E-2</v>
      </c>
      <c r="CF54" s="104">
        <f t="shared" si="83"/>
        <v>3.8848165294924544E-3</v>
      </c>
      <c r="CG54" s="92">
        <f t="shared" si="142"/>
        <v>0.18802083333333333</v>
      </c>
      <c r="CH54" s="92">
        <f t="shared" si="143"/>
        <v>5.4976851851851853E-3</v>
      </c>
      <c r="CI54" s="92">
        <f t="shared" si="144"/>
        <v>0.28800000000000003</v>
      </c>
      <c r="CJ54" s="108">
        <f t="shared" si="145"/>
        <v>0.09</v>
      </c>
      <c r="CK54" s="128">
        <f t="shared" si="84"/>
        <v>0.575403335048011</v>
      </c>
      <c r="CL54" s="104">
        <f t="shared" si="146"/>
        <v>0.15</v>
      </c>
      <c r="CM54" s="106">
        <f t="shared" si="147"/>
        <v>0.15</v>
      </c>
      <c r="CN54" s="106">
        <f t="shared" si="148"/>
        <v>0</v>
      </c>
      <c r="CO54" s="106">
        <f t="shared" si="149"/>
        <v>0</v>
      </c>
      <c r="CP54" s="106">
        <f t="shared" si="150"/>
        <v>0</v>
      </c>
      <c r="CQ54" s="106">
        <f t="shared" si="151"/>
        <v>0</v>
      </c>
      <c r="CR54" s="128">
        <f t="shared" si="85"/>
        <v>0.3</v>
      </c>
      <c r="CS54" s="106">
        <f t="shared" si="86"/>
        <v>0.88634104938271607</v>
      </c>
      <c r="CT54" s="106">
        <f t="shared" si="152"/>
        <v>5.8863410493827164</v>
      </c>
      <c r="CU54" s="108">
        <f t="shared" si="153"/>
        <v>0.84942410880598496</v>
      </c>
      <c r="CV54">
        <f t="shared" si="87"/>
        <v>48</v>
      </c>
    </row>
    <row r="55" spans="1:100" x14ac:dyDescent="0.25">
      <c r="A55" s="204" t="s">
        <v>442</v>
      </c>
      <c r="B55" s="12">
        <f>IF(AND(Vout2&lt;&gt;0,Iout2&lt;&gt;0,Ns2_FlyBB&lt;&gt;0),ABS(Vout2)+((Ns2_FlyBB/Np)*VinMax),0)</f>
        <v>33.271999999999998</v>
      </c>
      <c r="C55" s="12"/>
    </row>
    <row r="56" spans="1:100" x14ac:dyDescent="0.25">
      <c r="A56" s="204" t="s">
        <v>443</v>
      </c>
      <c r="B56" s="12">
        <f>IF(AND(Vout3&lt;&gt;0,Iout3&lt;&gt;0,Ns3_FlyBB&lt;&gt;0),ABS(Vout3)+((Ns3_FlyBB/Np)*VinMax),0)</f>
        <v>0</v>
      </c>
      <c r="C56" s="12"/>
    </row>
    <row r="57" spans="1:100" x14ac:dyDescent="0.25">
      <c r="A57" s="204" t="s">
        <v>444</v>
      </c>
      <c r="B57" s="12">
        <f>IF(AND(Vout4&lt;&gt;0,Iout4&lt;&gt;0,Ns4_FlyBB&lt;&gt;0),ABS(Vout4)+((Ns4_FlyBB/Np)*VinMax),0)</f>
        <v>0</v>
      </c>
      <c r="C57" s="12"/>
    </row>
    <row r="58" spans="1:100" x14ac:dyDescent="0.25">
      <c r="A58" s="204" t="s">
        <v>445</v>
      </c>
      <c r="B58" s="12">
        <f>IF(AND(Vout5&lt;&gt;0,Iout5&lt;&gt;0,Ns5_FlyBB&lt;&gt;0),ABS(Vout5)+((Ns5_FlyBB/Np)*VinMax),0)</f>
        <v>0</v>
      </c>
      <c r="C58" s="12"/>
    </row>
    <row r="59" spans="1:100" x14ac:dyDescent="0.25">
      <c r="A59" s="204" t="s">
        <v>446</v>
      </c>
      <c r="B59" s="12">
        <f>IF(AND(Vout6&lt;&gt;0,Iout6&lt;&gt;0,Ns6_FlyBB&lt;&gt;0),ABS(Vout6)+((Ns6_FlyBB/Np)*VinMax),0)</f>
        <v>0</v>
      </c>
      <c r="C59" s="12"/>
    </row>
    <row r="60" spans="1:100" x14ac:dyDescent="0.25">
      <c r="A60" s="204" t="s">
        <v>448</v>
      </c>
      <c r="B60" s="12">
        <f>VinMax</f>
        <v>48</v>
      </c>
      <c r="C60" s="12"/>
    </row>
    <row r="61" spans="1:100" x14ac:dyDescent="0.25">
      <c r="A61" s="310" t="s">
        <v>469</v>
      </c>
      <c r="B61" s="310"/>
      <c r="C61" s="310"/>
    </row>
    <row r="62" spans="1:100" x14ac:dyDescent="0.25">
      <c r="A62" s="214" t="s">
        <v>527</v>
      </c>
      <c r="B62" s="12">
        <f>IF('Fly-Buck-Boost'!B37="LM5017",1,IF('Fly-Buck-Boost'!B37="LM5018",2,IF('Fly-Buck-Boost'!B37="LM5019",3,IF('Fly-Buck-Boost'!B37="LM5160",4,4))))</f>
        <v>4</v>
      </c>
      <c r="C62" s="12"/>
    </row>
    <row r="63" spans="1:100" x14ac:dyDescent="0.25">
      <c r="A63" s="214" t="s">
        <v>527</v>
      </c>
      <c r="B63" s="12" t="str">
        <f>VLOOKUP(B62,Parts!A4:BE11,2,FALSE)</f>
        <v>LM5160</v>
      </c>
      <c r="C63" s="12"/>
    </row>
    <row r="64" spans="1:100" x14ac:dyDescent="0.25">
      <c r="A64" s="214" t="s">
        <v>0</v>
      </c>
      <c r="B64" s="12">
        <f>VLOOKUP(B62,Parts!A3:BE10,4,FALSE)</f>
        <v>4.5</v>
      </c>
      <c r="C64" s="12"/>
    </row>
    <row r="65" spans="1:3" x14ac:dyDescent="0.25">
      <c r="A65" s="214" t="s">
        <v>2</v>
      </c>
      <c r="B65" s="12">
        <f>VLOOKUP(B62,Parts!A3:BE10,7,FALSE)</f>
        <v>56</v>
      </c>
      <c r="C65" s="12"/>
    </row>
    <row r="66" spans="1:3" x14ac:dyDescent="0.25">
      <c r="A66" s="214" t="s">
        <v>550</v>
      </c>
      <c r="B66" s="12">
        <f>VLOOKUP(B62,Parts!A3:BE10,12,FALSE)</f>
        <v>8.9999999999999999E-11</v>
      </c>
      <c r="C66" s="12"/>
    </row>
    <row r="67" spans="1:3" x14ac:dyDescent="0.25">
      <c r="A67" s="214" t="s">
        <v>551</v>
      </c>
      <c r="B67" s="12">
        <f>VLOOKUP(B62,Parts!A3:BE10,8,FALSE)</f>
        <v>2</v>
      </c>
      <c r="C67" s="12"/>
    </row>
    <row r="68" spans="1:3" x14ac:dyDescent="0.25">
      <c r="A68" s="214" t="s">
        <v>552</v>
      </c>
      <c r="B68" s="12">
        <f>VLOOKUP(B62,Parts!A3:BE10,18,FALSE)</f>
        <v>7.5</v>
      </c>
      <c r="C68" s="12"/>
    </row>
    <row r="69" spans="1:3" x14ac:dyDescent="0.25">
      <c r="A69" s="214" t="s">
        <v>553</v>
      </c>
      <c r="B69" s="12">
        <f>VLOOKUP(B62,Parts!A3:BE10,20,FALSE)</f>
        <v>0.28999999999999998</v>
      </c>
      <c r="C69" s="12"/>
    </row>
    <row r="70" spans="1:3" x14ac:dyDescent="0.25">
      <c r="A70" s="214" t="s">
        <v>593</v>
      </c>
      <c r="B70" s="12">
        <f>VLOOKUP(B62,Parts!A3:BE10,21,FALSE)</f>
        <v>2E-8</v>
      </c>
      <c r="C70" s="12"/>
    </row>
    <row r="71" spans="1:3" x14ac:dyDescent="0.25">
      <c r="A71" s="214" t="s">
        <v>554</v>
      </c>
      <c r="B71" s="12">
        <f>VLOOKUP(B62,Parts!A3:BE10,22,FALSE)</f>
        <v>0.13</v>
      </c>
      <c r="C71" s="12"/>
    </row>
    <row r="72" spans="1:3" x14ac:dyDescent="0.25">
      <c r="A72" s="214" t="s">
        <v>592</v>
      </c>
      <c r="B72" s="12">
        <f>VLOOKUP(B62,Parts!A3:BE10,23,FALSE)</f>
        <v>2E-8</v>
      </c>
      <c r="C72" s="12"/>
    </row>
    <row r="73" spans="1:3" x14ac:dyDescent="0.25">
      <c r="A73" s="214" t="s">
        <v>575</v>
      </c>
      <c r="B73" s="12">
        <f>VLOOKUP(B62,Parts!A3:BE10,27,FALSE)</f>
        <v>1.9</v>
      </c>
      <c r="C73" s="12"/>
    </row>
    <row r="74" spans="1:3" x14ac:dyDescent="0.25">
      <c r="A74" s="214" t="s">
        <v>934</v>
      </c>
      <c r="B74" s="12">
        <f>VLOOKUP(B62,Parts!A4:BK15,57,FALSE)</f>
        <v>18</v>
      </c>
      <c r="C74" s="12" t="s">
        <v>933</v>
      </c>
    </row>
    <row r="75" spans="1:3" x14ac:dyDescent="0.25">
      <c r="A75" s="214" t="s">
        <v>935</v>
      </c>
      <c r="B75" s="12">
        <f>VLOOKUP(B62,Parts!A4:BK15,61,FALSE)</f>
        <v>5.1180000000000003</v>
      </c>
      <c r="C75" s="12" t="s">
        <v>932</v>
      </c>
    </row>
    <row r="76" spans="1:3" x14ac:dyDescent="0.25">
      <c r="A76" s="214" t="s">
        <v>950</v>
      </c>
      <c r="B76" s="12">
        <f>VLOOKUP(B62,Parts!A4:BM15,64,FALSE)</f>
        <v>2.5000000000000002E-8</v>
      </c>
      <c r="C76" s="12"/>
    </row>
    <row r="77" spans="1:3" x14ac:dyDescent="0.25">
      <c r="A77" s="214" t="s">
        <v>951</v>
      </c>
      <c r="B77" s="12">
        <f>VLOOKUP(B62,Parts!A4:BM15,65,FALSE)</f>
        <v>2E-8</v>
      </c>
      <c r="C77" s="12"/>
    </row>
    <row r="78" spans="1:3" x14ac:dyDescent="0.25">
      <c r="A78" s="214" t="s">
        <v>583</v>
      </c>
      <c r="B78" s="12">
        <f>'Fly-Buck-Boost'!B25/1000</f>
        <v>7.0000000000000007E-2</v>
      </c>
      <c r="C78" s="12"/>
    </row>
    <row r="79" spans="1:3" x14ac:dyDescent="0.25">
      <c r="A79" s="214" t="s">
        <v>584</v>
      </c>
      <c r="B79" s="12">
        <f>'Fly-Buck-Boost'!G15/1000</f>
        <v>0.02</v>
      </c>
      <c r="C79" s="12"/>
    </row>
    <row r="80" spans="1:3" x14ac:dyDescent="0.25">
      <c r="A80" s="214" t="s">
        <v>585</v>
      </c>
      <c r="B80" s="12">
        <f>'Fly-Buck-Boost'!G16/1000</f>
        <v>0.02</v>
      </c>
      <c r="C80" s="12"/>
    </row>
    <row r="81" spans="1:6" x14ac:dyDescent="0.25">
      <c r="A81" s="214" t="s">
        <v>586</v>
      </c>
      <c r="B81" s="12">
        <f>'Fly-Buck-Boost'!G17/1000</f>
        <v>0</v>
      </c>
      <c r="C81" s="12"/>
    </row>
    <row r="82" spans="1:6" x14ac:dyDescent="0.25">
      <c r="A82" s="214" t="s">
        <v>587</v>
      </c>
      <c r="B82" s="12">
        <f>'Fly-Buck-Boost'!G18/1000</f>
        <v>0</v>
      </c>
      <c r="C82" s="12"/>
    </row>
    <row r="83" spans="1:6" x14ac:dyDescent="0.25">
      <c r="A83" s="214" t="s">
        <v>588</v>
      </c>
      <c r="B83" s="12">
        <f>'Fly-Buck-Boost'!G19/1000</f>
        <v>0</v>
      </c>
      <c r="C83" s="12"/>
    </row>
    <row r="84" spans="1:6" x14ac:dyDescent="0.25">
      <c r="A84" s="214" t="s">
        <v>589</v>
      </c>
      <c r="B84" s="12">
        <f>'Fly-Buck-Boost'!G20/1000</f>
        <v>0</v>
      </c>
      <c r="C84" s="12"/>
    </row>
    <row r="88" spans="1:6" x14ac:dyDescent="0.25">
      <c r="A88" t="s">
        <v>879</v>
      </c>
    </row>
    <row r="89" spans="1:6" ht="15.75" thickBot="1" x14ac:dyDescent="0.3"/>
    <row r="90" spans="1:6" x14ac:dyDescent="0.25">
      <c r="A90" s="312" t="s">
        <v>523</v>
      </c>
      <c r="B90" s="313"/>
      <c r="C90" s="313"/>
      <c r="D90" s="313"/>
      <c r="E90" s="314"/>
      <c r="F90" t="s">
        <v>877</v>
      </c>
    </row>
    <row r="91" spans="1:6" x14ac:dyDescent="0.25">
      <c r="A91" s="281"/>
      <c r="B91" s="94" t="s">
        <v>872</v>
      </c>
      <c r="C91" s="92"/>
      <c r="D91" s="92" t="s">
        <v>870</v>
      </c>
      <c r="E91" s="93" t="s">
        <v>871</v>
      </c>
    </row>
    <row r="92" spans="1:6" x14ac:dyDescent="0.25">
      <c r="A92" s="91" t="s">
        <v>873</v>
      </c>
      <c r="B92" s="92">
        <f>eff*ABS(VoutPri_FBB)*VIN_MIN*Parts!AA7/(ABS(VoutPri_FBB)+VIN_MIN)</f>
        <v>7.6949999999999994</v>
      </c>
      <c r="C92" s="92" t="s">
        <v>91</v>
      </c>
      <c r="D92" s="92">
        <f>Pout_FB</f>
        <v>5</v>
      </c>
      <c r="E92" s="93">
        <f>IF(B92&gt;D92,1,0)</f>
        <v>1</v>
      </c>
    </row>
    <row r="93" spans="1:6" x14ac:dyDescent="0.25">
      <c r="A93" s="91" t="s">
        <v>677</v>
      </c>
      <c r="B93" s="92">
        <f>Parts!D7+VoutPri_FBB</f>
        <v>-4.5</v>
      </c>
      <c r="C93" s="92" t="s">
        <v>5</v>
      </c>
      <c r="D93" s="92">
        <f>VIN_MIN</f>
        <v>9</v>
      </c>
      <c r="E93" s="93">
        <f>IF(B93&lt;D93,1,0)</f>
        <v>1</v>
      </c>
    </row>
    <row r="94" spans="1:6" x14ac:dyDescent="0.25">
      <c r="A94" s="91" t="s">
        <v>678</v>
      </c>
      <c r="B94" s="92">
        <f>Parts!G7</f>
        <v>56</v>
      </c>
      <c r="C94" s="92"/>
      <c r="D94" s="92">
        <f>VIN_MAX</f>
        <v>36</v>
      </c>
      <c r="E94" s="93">
        <f>IF(B94&gt;D94,1,0)</f>
        <v>1</v>
      </c>
    </row>
    <row r="95" spans="1:6" x14ac:dyDescent="0.25">
      <c r="A95" s="91" t="s">
        <v>874</v>
      </c>
      <c r="B95" s="92">
        <f>Parts!H7</f>
        <v>2</v>
      </c>
      <c r="C95" s="92"/>
      <c r="D95" s="92">
        <f>ABS(VoutPri_FBB)</f>
        <v>9</v>
      </c>
      <c r="E95" s="93">
        <f>IF(B95&lt;D95,1,0)</f>
        <v>1</v>
      </c>
    </row>
    <row r="96" spans="1:6" x14ac:dyDescent="0.25">
      <c r="A96" s="91" t="s">
        <v>875</v>
      </c>
      <c r="B96" s="92">
        <f>Parts!I7*1000</f>
        <v>50000</v>
      </c>
      <c r="C96" s="92"/>
      <c r="D96" s="92">
        <f>Fsw</f>
        <v>300000</v>
      </c>
      <c r="E96" s="93">
        <f>IF(B96&lt;D96,1,0)</f>
        <v>1</v>
      </c>
    </row>
    <row r="97" spans="1:6" ht="15.75" thickBot="1" x14ac:dyDescent="0.3">
      <c r="A97" s="104" t="s">
        <v>876</v>
      </c>
      <c r="B97" s="106">
        <f>Parts!J7*1000</f>
        <v>1000000</v>
      </c>
      <c r="C97" s="106"/>
      <c r="D97" s="106">
        <f>Fsw</f>
        <v>300000</v>
      </c>
      <c r="E97" s="108">
        <f>IF(B97&gt;D97,1,0)</f>
        <v>1</v>
      </c>
      <c r="F97">
        <f>PRODUCT(E92:E97)</f>
        <v>1</v>
      </c>
    </row>
    <row r="98" spans="1:6" x14ac:dyDescent="0.25">
      <c r="A98" s="312" t="s">
        <v>116</v>
      </c>
      <c r="B98" s="313"/>
      <c r="C98" s="313"/>
      <c r="D98" s="313"/>
      <c r="E98" s="314"/>
    </row>
    <row r="99" spans="1:6" x14ac:dyDescent="0.25">
      <c r="A99" s="281"/>
      <c r="B99" s="94" t="s">
        <v>872</v>
      </c>
      <c r="C99" s="92"/>
      <c r="D99" s="92" t="s">
        <v>870</v>
      </c>
      <c r="E99" s="93" t="s">
        <v>871</v>
      </c>
    </row>
    <row r="100" spans="1:6" x14ac:dyDescent="0.25">
      <c r="A100" s="91" t="s">
        <v>873</v>
      </c>
      <c r="B100" s="92">
        <f>eff*ABS(VoutPri_FBB)*VIN_MIN*Parts!AA4/(ABS(VoutPri_FBB)+VIN_MIN)</f>
        <v>2.8349999999999995</v>
      </c>
      <c r="C100" s="92" t="s">
        <v>91</v>
      </c>
      <c r="D100" s="92">
        <f>Pout_FB</f>
        <v>5</v>
      </c>
      <c r="E100" s="93">
        <f>IF(B100&gt;D100,1,0)</f>
        <v>0</v>
      </c>
    </row>
    <row r="101" spans="1:6" x14ac:dyDescent="0.25">
      <c r="A101" s="91" t="s">
        <v>677</v>
      </c>
      <c r="B101" s="92">
        <f>Parts!D4+VoutPri_FBB</f>
        <v>-1.5</v>
      </c>
      <c r="C101" s="92" t="s">
        <v>5</v>
      </c>
      <c r="D101" s="92">
        <f>VIN_MIN</f>
        <v>9</v>
      </c>
      <c r="E101" s="93">
        <f>IF(B101&lt;D101,1,0)</f>
        <v>1</v>
      </c>
    </row>
    <row r="102" spans="1:6" x14ac:dyDescent="0.25">
      <c r="A102" s="91" t="s">
        <v>678</v>
      </c>
      <c r="B102" s="92">
        <f>Parts!G4</f>
        <v>91</v>
      </c>
      <c r="C102" s="92"/>
      <c r="D102" s="92">
        <f>VIN_MAX</f>
        <v>36</v>
      </c>
      <c r="E102" s="93">
        <f>IF(B102&gt;D102,1,0)</f>
        <v>1</v>
      </c>
    </row>
    <row r="103" spans="1:6" x14ac:dyDescent="0.25">
      <c r="A103" s="91" t="s">
        <v>874</v>
      </c>
      <c r="B103" s="92">
        <f>Parts!H4</f>
        <v>1.2250000000000001</v>
      </c>
      <c r="C103" s="92"/>
      <c r="D103" s="92">
        <f>ABS(VoutPri_FBB)</f>
        <v>9</v>
      </c>
      <c r="E103" s="93">
        <f>IF(B103&lt;D103,1,0)</f>
        <v>1</v>
      </c>
    </row>
    <row r="104" spans="1:6" x14ac:dyDescent="0.25">
      <c r="A104" s="91" t="s">
        <v>875</v>
      </c>
      <c r="B104" s="92">
        <f>Parts!I4*1000</f>
        <v>50000</v>
      </c>
      <c r="C104" s="92"/>
      <c r="D104" s="92">
        <f>Fsw</f>
        <v>300000</v>
      </c>
      <c r="E104" s="93">
        <f>IF(B104&lt;D104,1,0)</f>
        <v>1</v>
      </c>
    </row>
    <row r="105" spans="1:6" ht="15.75" thickBot="1" x14ac:dyDescent="0.3">
      <c r="A105" s="104" t="s">
        <v>876</v>
      </c>
      <c r="B105" s="106">
        <f>Parts!J4*1000</f>
        <v>1000000</v>
      </c>
      <c r="C105" s="106"/>
      <c r="D105" s="106">
        <f>Fsw</f>
        <v>300000</v>
      </c>
      <c r="E105" s="108">
        <f>IF(B105&gt;D105,1,0)</f>
        <v>1</v>
      </c>
      <c r="F105">
        <f>PRODUCT(E100:E105)</f>
        <v>0</v>
      </c>
    </row>
    <row r="106" spans="1:6" x14ac:dyDescent="0.25">
      <c r="A106" s="312" t="s">
        <v>117</v>
      </c>
      <c r="B106" s="313"/>
      <c r="C106" s="313"/>
      <c r="D106" s="313"/>
      <c r="E106" s="314"/>
    </row>
    <row r="107" spans="1:6" x14ac:dyDescent="0.25">
      <c r="A107" s="281"/>
      <c r="B107" s="94" t="s">
        <v>872</v>
      </c>
      <c r="C107" s="92"/>
      <c r="D107" s="92" t="s">
        <v>870</v>
      </c>
      <c r="E107" s="93" t="s">
        <v>871</v>
      </c>
    </row>
    <row r="108" spans="1:6" x14ac:dyDescent="0.25">
      <c r="A108" s="91" t="s">
        <v>873</v>
      </c>
      <c r="B108" s="92">
        <f>eff*ABS(VoutPri_FBB)*VIN_MIN*Parts!AA5/(ABS(VoutPri_FBB)+VIN_MIN)</f>
        <v>1.5794999999999999</v>
      </c>
      <c r="C108" s="92" t="s">
        <v>91</v>
      </c>
      <c r="D108" s="92">
        <f>Pout_FB</f>
        <v>5</v>
      </c>
      <c r="E108" s="93">
        <f>IF(B108&gt;D108,1,0)</f>
        <v>0</v>
      </c>
    </row>
    <row r="109" spans="1:6" x14ac:dyDescent="0.25">
      <c r="A109" s="91" t="s">
        <v>677</v>
      </c>
      <c r="B109" s="92">
        <f>Parts!D5+VoutPri_FBB</f>
        <v>-1.5</v>
      </c>
      <c r="C109" s="92" t="s">
        <v>5</v>
      </c>
      <c r="D109" s="92">
        <f>VIN_MIN</f>
        <v>9</v>
      </c>
      <c r="E109" s="93">
        <f>IF(B109&lt;D109,1,0)</f>
        <v>1</v>
      </c>
    </row>
    <row r="110" spans="1:6" x14ac:dyDescent="0.25">
      <c r="A110" s="91" t="s">
        <v>678</v>
      </c>
      <c r="B110" s="92">
        <f>Parts!G5</f>
        <v>91</v>
      </c>
      <c r="C110" s="92"/>
      <c r="D110" s="92">
        <f>VIN_MAX</f>
        <v>36</v>
      </c>
      <c r="E110" s="93">
        <f>IF(B110&gt;D110,1,0)</f>
        <v>1</v>
      </c>
    </row>
    <row r="111" spans="1:6" x14ac:dyDescent="0.25">
      <c r="A111" s="91" t="s">
        <v>874</v>
      </c>
      <c r="B111" s="92">
        <f>Parts!H5</f>
        <v>1.2250000000000001</v>
      </c>
      <c r="C111" s="92"/>
      <c r="D111" s="92">
        <f>ABS(VoutPri_FBB)</f>
        <v>9</v>
      </c>
      <c r="E111" s="93">
        <f>IF(B111&lt;D111,1,0)</f>
        <v>1</v>
      </c>
    </row>
    <row r="112" spans="1:6" x14ac:dyDescent="0.25">
      <c r="A112" s="91" t="s">
        <v>875</v>
      </c>
      <c r="B112" s="92">
        <f>Parts!I5*1000</f>
        <v>50000</v>
      </c>
      <c r="C112" s="92"/>
      <c r="D112" s="92">
        <f>Fsw</f>
        <v>300000</v>
      </c>
      <c r="E112" s="93">
        <f>IF(B112&lt;D112,1,0)</f>
        <v>1</v>
      </c>
    </row>
    <row r="113" spans="1:9" ht="15.75" thickBot="1" x14ac:dyDescent="0.3">
      <c r="A113" s="104" t="s">
        <v>876</v>
      </c>
      <c r="B113" s="106">
        <f>Parts!J5*1000</f>
        <v>1000000</v>
      </c>
      <c r="C113" s="106"/>
      <c r="D113" s="106">
        <f>Fsw</f>
        <v>300000</v>
      </c>
      <c r="E113" s="108">
        <f>IF(B113&gt;D113,1,0)</f>
        <v>1</v>
      </c>
      <c r="F113">
        <f>PRODUCT(E108:E113)</f>
        <v>0</v>
      </c>
    </row>
    <row r="114" spans="1:9" x14ac:dyDescent="0.25">
      <c r="A114" s="312" t="s">
        <v>118</v>
      </c>
      <c r="B114" s="313"/>
      <c r="C114" s="313"/>
      <c r="D114" s="313"/>
      <c r="E114" s="314"/>
    </row>
    <row r="115" spans="1:9" x14ac:dyDescent="0.25">
      <c r="A115" s="281"/>
      <c r="B115" s="94" t="s">
        <v>872</v>
      </c>
      <c r="C115" s="92"/>
      <c r="D115" s="92" t="s">
        <v>870</v>
      </c>
      <c r="E115" s="93" t="s">
        <v>871</v>
      </c>
    </row>
    <row r="116" spans="1:9" x14ac:dyDescent="0.25">
      <c r="A116" s="91" t="s">
        <v>873</v>
      </c>
      <c r="B116" s="92">
        <f>eff*ABS(VoutPri_FBB)*VIN_MIN*Parts!AA6/(ABS(VoutPri_FBB)+VIN_MIN)</f>
        <v>0.60749999999999993</v>
      </c>
      <c r="C116" s="92" t="s">
        <v>91</v>
      </c>
      <c r="D116" s="92">
        <f>Pout_FB</f>
        <v>5</v>
      </c>
      <c r="E116" s="93">
        <f>IF(B116&gt;D116,1,0)</f>
        <v>0</v>
      </c>
    </row>
    <row r="117" spans="1:9" x14ac:dyDescent="0.25">
      <c r="A117" s="91" t="s">
        <v>677</v>
      </c>
      <c r="B117" s="92">
        <f>Parts!D6+VoutPri_FBB</f>
        <v>-1.5</v>
      </c>
      <c r="C117" s="92" t="s">
        <v>5</v>
      </c>
      <c r="D117" s="92">
        <f>VIN_MIN</f>
        <v>9</v>
      </c>
      <c r="E117" s="93">
        <f>IF(B117&lt;D117,1,0)</f>
        <v>1</v>
      </c>
    </row>
    <row r="118" spans="1:9" x14ac:dyDescent="0.25">
      <c r="A118" s="91" t="s">
        <v>678</v>
      </c>
      <c r="B118" s="92">
        <f>Parts!G6</f>
        <v>91</v>
      </c>
      <c r="C118" s="92"/>
      <c r="D118" s="92">
        <f>VIN_MAX</f>
        <v>36</v>
      </c>
      <c r="E118" s="93">
        <f>IF(B118&gt;D118,1,0)</f>
        <v>1</v>
      </c>
    </row>
    <row r="119" spans="1:9" x14ac:dyDescent="0.25">
      <c r="A119" s="91" t="s">
        <v>874</v>
      </c>
      <c r="B119" s="92">
        <f>Parts!H6</f>
        <v>1.2250000000000001</v>
      </c>
      <c r="C119" s="92"/>
      <c r="D119" s="92">
        <f>ABS(VoutPri_FBB)</f>
        <v>9</v>
      </c>
      <c r="E119" s="93">
        <f>IF(B119&lt;D119,1,0)</f>
        <v>1</v>
      </c>
    </row>
    <row r="120" spans="1:9" ht="15.75" thickBot="1" x14ac:dyDescent="0.3">
      <c r="A120" s="91" t="s">
        <v>875</v>
      </c>
      <c r="B120" s="92">
        <f>Parts!I6*1000</f>
        <v>50000</v>
      </c>
      <c r="C120" s="92"/>
      <c r="D120" s="92">
        <f>Fsw</f>
        <v>300000</v>
      </c>
      <c r="E120" s="93">
        <f>IF(B120&lt;D120,1,0)</f>
        <v>1</v>
      </c>
    </row>
    <row r="121" spans="1:9" ht="15.75" thickBot="1" x14ac:dyDescent="0.3">
      <c r="A121" s="104" t="s">
        <v>876</v>
      </c>
      <c r="B121" s="106">
        <f>Parts!J6*1000</f>
        <v>1000000</v>
      </c>
      <c r="C121" s="106"/>
      <c r="D121" s="106">
        <f>Fsw</f>
        <v>300000</v>
      </c>
      <c r="E121" s="108">
        <f>IF(B121&gt;D121,1,0)</f>
        <v>1</v>
      </c>
      <c r="F121">
        <f>PRODUCT(E116:E121)</f>
        <v>0</v>
      </c>
      <c r="G121" s="315" t="s">
        <v>878</v>
      </c>
      <c r="H121" s="316"/>
      <c r="I121" s="253">
        <f>IF(SUM(F97,F105,F113,F121)&gt;=1,1,0)</f>
        <v>1</v>
      </c>
    </row>
  </sheetData>
  <mergeCells count="15">
    <mergeCell ref="A90:E90"/>
    <mergeCell ref="A98:E98"/>
    <mergeCell ref="A106:E106"/>
    <mergeCell ref="A114:E114"/>
    <mergeCell ref="G121:H121"/>
    <mergeCell ref="A61:C61"/>
    <mergeCell ref="CF2:CK2"/>
    <mergeCell ref="CL2:CR2"/>
    <mergeCell ref="A4:C4"/>
    <mergeCell ref="A53:C53"/>
    <mergeCell ref="A6:B6"/>
    <mergeCell ref="A38:C38"/>
    <mergeCell ref="A29:C29"/>
    <mergeCell ref="A24:C24"/>
    <mergeCell ref="A11:C11"/>
  </mergeCells>
  <conditionalFormatting sqref="AV4:BD54">
    <cfRule type="expression" dxfId="8" priority="1">
      <formula>MOD(ROW(),2)=1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35"/>
  <sheetViews>
    <sheetView topLeftCell="BX1" zoomScaleNormal="100" workbookViewId="0">
      <selection activeCell="CS4" sqref="CS4"/>
    </sheetView>
  </sheetViews>
  <sheetFormatPr defaultRowHeight="15" x14ac:dyDescent="0.25"/>
  <cols>
    <col min="1" max="1" width="26" bestFit="1" customWidth="1"/>
    <col min="2" max="2" width="12" bestFit="1" customWidth="1"/>
    <col min="3" max="3" width="3.140625" bestFit="1" customWidth="1"/>
    <col min="4" max="4" width="12" bestFit="1" customWidth="1"/>
    <col min="6" max="6" width="9.5703125" bestFit="1" customWidth="1"/>
    <col min="8" max="8" width="9.5703125" bestFit="1" customWidth="1"/>
    <col min="10" max="10" width="9.5703125" bestFit="1" customWidth="1"/>
    <col min="14" max="14" width="12" bestFit="1" customWidth="1"/>
    <col min="16" max="16" width="9.140625" customWidth="1"/>
    <col min="17" max="17" width="9.5703125" bestFit="1" customWidth="1"/>
    <col min="18" max="18" width="9.5703125" customWidth="1"/>
    <col min="22" max="22" width="9.5703125" style="9" customWidth="1"/>
    <col min="23" max="28" width="8.85546875" style="9"/>
    <col min="29" max="29" width="9.5703125" style="9" bestFit="1" customWidth="1"/>
    <col min="30" max="30" width="9.5703125" style="9" customWidth="1"/>
    <col min="31" max="31" width="9.5703125" style="9" bestFit="1" customWidth="1"/>
    <col min="32" max="32" width="9.5703125" style="9" customWidth="1"/>
    <col min="33" max="33" width="9.5703125" style="9" bestFit="1" customWidth="1"/>
    <col min="34" max="34" width="9.5703125" style="9" customWidth="1"/>
    <col min="35" max="35" width="9.5703125" style="9" bestFit="1" customWidth="1"/>
    <col min="36" max="47" width="9.5703125" style="9" customWidth="1"/>
    <col min="48" max="48" width="11" style="9" customWidth="1"/>
    <col min="49" max="61" width="9.5703125" style="9" customWidth="1"/>
    <col min="76" max="76" width="9.5703125" customWidth="1"/>
    <col min="77" max="78" width="12.140625" customWidth="1"/>
    <col min="79" max="79" width="11.85546875" bestFit="1" customWidth="1"/>
    <col min="80" max="80" width="11" bestFit="1" customWidth="1"/>
    <col min="81" max="81" width="12.140625" customWidth="1"/>
    <col min="82" max="83" width="12" customWidth="1"/>
    <col min="84" max="85" width="11.140625" customWidth="1"/>
    <col min="86" max="89" width="11.5703125" customWidth="1"/>
    <col min="90" max="91" width="11" customWidth="1"/>
    <col min="92" max="96" width="10.140625" customWidth="1"/>
    <col min="100" max="100" width="9.7109375" customWidth="1"/>
    <col min="105" max="106" width="12.28515625" customWidth="1"/>
    <col min="107" max="107" width="11.28515625" customWidth="1"/>
    <col min="108" max="108" width="10.7109375" customWidth="1"/>
    <col min="109" max="109" width="9.5703125" bestFit="1" customWidth="1"/>
    <col min="111" max="111" width="9.5703125" bestFit="1" customWidth="1"/>
    <col min="114" max="114" width="9.5703125" bestFit="1" customWidth="1"/>
    <col min="117" max="117" width="9.5703125" bestFit="1" customWidth="1"/>
    <col min="118" max="118" width="10.5703125" bestFit="1" customWidth="1"/>
    <col min="119" max="123" width="9.5703125" bestFit="1" customWidth="1"/>
    <col min="125" max="125" width="9.5703125" bestFit="1" customWidth="1"/>
    <col min="127" max="127" width="9.5703125" bestFit="1" customWidth="1"/>
  </cols>
  <sheetData>
    <row r="1" spans="1:128" ht="15.75" thickBot="1" x14ac:dyDescent="0.3">
      <c r="M1" s="11" t="s">
        <v>74</v>
      </c>
      <c r="N1" s="11"/>
      <c r="O1" s="11"/>
      <c r="P1" s="11"/>
      <c r="Q1" s="11"/>
      <c r="R1" s="11"/>
      <c r="S1" s="11"/>
      <c r="T1" s="11"/>
      <c r="U1" s="11"/>
      <c r="V1" s="11">
        <v>1</v>
      </c>
      <c r="W1" s="11">
        <v>2</v>
      </c>
      <c r="X1" s="11">
        <v>3</v>
      </c>
      <c r="Y1" s="11">
        <v>4</v>
      </c>
      <c r="Z1" s="11">
        <v>5</v>
      </c>
      <c r="AA1" s="11">
        <v>6</v>
      </c>
      <c r="AB1" s="11">
        <v>7</v>
      </c>
      <c r="AC1" s="11">
        <v>8</v>
      </c>
      <c r="AD1" s="11">
        <v>9</v>
      </c>
      <c r="AE1" s="11">
        <v>10</v>
      </c>
      <c r="AF1" s="11">
        <v>11</v>
      </c>
      <c r="AG1" s="11">
        <v>12</v>
      </c>
      <c r="AH1" s="11">
        <v>13</v>
      </c>
      <c r="AI1" s="11">
        <v>14</v>
      </c>
      <c r="AJ1" s="11">
        <v>15</v>
      </c>
      <c r="AK1" s="11">
        <v>16</v>
      </c>
      <c r="AL1" s="11">
        <v>17</v>
      </c>
      <c r="AM1" s="13"/>
      <c r="AN1" s="71" t="s">
        <v>224</v>
      </c>
      <c r="AO1" s="71"/>
      <c r="AP1" s="71"/>
      <c r="AQ1" s="71"/>
      <c r="AR1" s="13"/>
      <c r="AS1" s="13"/>
      <c r="AT1" s="13"/>
      <c r="AU1" s="13"/>
      <c r="AV1" s="13"/>
      <c r="AW1" s="13"/>
      <c r="AX1" s="13"/>
      <c r="AY1" s="13"/>
      <c r="AZ1" s="13"/>
      <c r="BA1" s="13"/>
      <c r="BB1" s="13"/>
      <c r="BC1" s="13"/>
      <c r="BD1" s="13"/>
      <c r="BE1" s="13"/>
      <c r="BF1" s="13"/>
      <c r="BG1" s="13"/>
      <c r="BH1" s="13"/>
      <c r="BI1" s="13"/>
      <c r="BJ1" s="11"/>
      <c r="CZ1" t="s">
        <v>644</v>
      </c>
    </row>
    <row r="2" spans="1:128" ht="15.75" thickBot="1" x14ac:dyDescent="0.3">
      <c r="N2" t="s">
        <v>32</v>
      </c>
      <c r="W2" s="322"/>
      <c r="X2" s="322"/>
      <c r="AG2" s="9" t="s">
        <v>359</v>
      </c>
      <c r="AN2" s="71" t="s">
        <v>360</v>
      </c>
      <c r="AO2" s="71"/>
      <c r="AP2" s="71"/>
      <c r="AQ2" s="71"/>
      <c r="AR2" s="320" t="s">
        <v>222</v>
      </c>
      <c r="AS2" s="321"/>
      <c r="AT2" s="320" t="s">
        <v>273</v>
      </c>
      <c r="AU2" s="321"/>
      <c r="BQ2" s="308" t="s">
        <v>628</v>
      </c>
      <c r="BR2" s="308"/>
      <c r="BS2" s="308"/>
      <c r="BT2" s="308"/>
      <c r="BU2" s="308"/>
      <c r="BV2" s="308"/>
      <c r="BW2" s="308"/>
      <c r="BX2" s="308"/>
      <c r="BY2" s="308"/>
      <c r="BZ2" s="203"/>
      <c r="CA2" s="203"/>
      <c r="CB2" s="203"/>
      <c r="CC2" s="203"/>
      <c r="CD2" s="203"/>
      <c r="CE2" s="291"/>
      <c r="CF2" s="203"/>
      <c r="CG2" s="291"/>
      <c r="CH2" s="203"/>
      <c r="CI2" s="291"/>
      <c r="CJ2" s="203"/>
      <c r="CK2" s="291"/>
      <c r="CL2" s="203"/>
      <c r="CM2" s="291"/>
      <c r="CN2" s="203"/>
      <c r="CO2" s="291"/>
      <c r="CP2" s="203"/>
      <c r="CQ2" s="291"/>
      <c r="CR2" s="203"/>
      <c r="CT2" t="s">
        <v>955</v>
      </c>
      <c r="CW2" t="s">
        <v>451</v>
      </c>
      <c r="DC2" s="315" t="s">
        <v>679</v>
      </c>
      <c r="DD2" s="316"/>
      <c r="DE2" s="316"/>
      <c r="DF2" s="316"/>
      <c r="DG2" s="316"/>
      <c r="DH2" s="318"/>
      <c r="DI2" s="315" t="s">
        <v>680</v>
      </c>
      <c r="DJ2" s="318"/>
      <c r="DK2" s="316" t="s">
        <v>533</v>
      </c>
      <c r="DL2" s="318"/>
      <c r="DM2" s="315" t="s">
        <v>773</v>
      </c>
      <c r="DN2" s="316"/>
      <c r="DO2" s="316"/>
      <c r="DP2" s="316"/>
      <c r="DQ2" s="316"/>
      <c r="DR2" s="318"/>
      <c r="DS2" s="315" t="s">
        <v>533</v>
      </c>
      <c r="DT2" s="316"/>
      <c r="DU2" s="316"/>
      <c r="DV2" s="316"/>
      <c r="DW2" s="316"/>
      <c r="DX2" s="318"/>
    </row>
    <row r="3" spans="1:128" s="14" customFormat="1" ht="75.75" thickBot="1" x14ac:dyDescent="0.3">
      <c r="L3" s="14" t="s">
        <v>30</v>
      </c>
      <c r="M3" s="66" t="s">
        <v>31</v>
      </c>
      <c r="N3" s="67" t="s">
        <v>53</v>
      </c>
      <c r="O3" s="67" t="s">
        <v>52</v>
      </c>
      <c r="P3" s="67" t="s">
        <v>54</v>
      </c>
      <c r="Q3" s="67" t="s">
        <v>73</v>
      </c>
      <c r="R3" s="68" t="s">
        <v>233</v>
      </c>
      <c r="S3" s="56" t="s">
        <v>95</v>
      </c>
      <c r="T3" s="57" t="s">
        <v>75</v>
      </c>
      <c r="U3" s="57" t="s">
        <v>76</v>
      </c>
      <c r="V3" s="51" t="s">
        <v>147</v>
      </c>
      <c r="W3" s="50" t="s">
        <v>80</v>
      </c>
      <c r="X3" s="51" t="s">
        <v>272</v>
      </c>
      <c r="Y3" s="50" t="s">
        <v>121</v>
      </c>
      <c r="Z3" s="51" t="s">
        <v>227</v>
      </c>
      <c r="AA3" s="50" t="s">
        <v>122</v>
      </c>
      <c r="AB3" s="51" t="s">
        <v>232</v>
      </c>
      <c r="AC3" s="50" t="s">
        <v>123</v>
      </c>
      <c r="AD3" s="51" t="s">
        <v>231</v>
      </c>
      <c r="AE3" s="50" t="s">
        <v>124</v>
      </c>
      <c r="AF3" s="51" t="s">
        <v>230</v>
      </c>
      <c r="AG3" s="50" t="s">
        <v>126</v>
      </c>
      <c r="AH3" s="51" t="s">
        <v>229</v>
      </c>
      <c r="AI3" s="50" t="s">
        <v>125</v>
      </c>
      <c r="AJ3" s="73" t="s">
        <v>228</v>
      </c>
      <c r="AK3" s="50" t="s">
        <v>412</v>
      </c>
      <c r="AL3" s="51" t="s">
        <v>413</v>
      </c>
      <c r="AM3" s="178" t="s">
        <v>202</v>
      </c>
      <c r="AN3" s="50" t="s">
        <v>221</v>
      </c>
      <c r="AO3" s="73" t="s">
        <v>216</v>
      </c>
      <c r="AP3" s="76"/>
      <c r="AQ3" s="77" t="s">
        <v>217</v>
      </c>
      <c r="AR3" s="72" t="s">
        <v>221</v>
      </c>
      <c r="AS3" s="49" t="s">
        <v>225</v>
      </c>
      <c r="AT3" s="48" t="s">
        <v>221</v>
      </c>
      <c r="AU3" s="72" t="s">
        <v>226</v>
      </c>
      <c r="AV3" s="81" t="s">
        <v>257</v>
      </c>
      <c r="AW3" s="82" t="s">
        <v>258</v>
      </c>
      <c r="AX3" s="50" t="s">
        <v>259</v>
      </c>
      <c r="AY3" s="51" t="s">
        <v>260</v>
      </c>
      <c r="AZ3" s="50" t="s">
        <v>261</v>
      </c>
      <c r="BA3" s="51" t="s">
        <v>262</v>
      </c>
      <c r="BB3" s="50" t="s">
        <v>263</v>
      </c>
      <c r="BC3" s="51" t="s">
        <v>264</v>
      </c>
      <c r="BD3" s="50" t="s">
        <v>265</v>
      </c>
      <c r="BE3" s="51" t="s">
        <v>266</v>
      </c>
      <c r="BF3" s="50" t="s">
        <v>267</v>
      </c>
      <c r="BG3" s="51" t="s">
        <v>268</v>
      </c>
      <c r="BH3" s="50" t="s">
        <v>269</v>
      </c>
      <c r="BI3" s="51" t="s">
        <v>270</v>
      </c>
      <c r="BJ3" s="50" t="s">
        <v>422</v>
      </c>
      <c r="BK3" s="73" t="s">
        <v>423</v>
      </c>
      <c r="BL3" s="50" t="s">
        <v>463</v>
      </c>
      <c r="BM3" s="73" t="s">
        <v>464</v>
      </c>
      <c r="BN3" s="73" t="s">
        <v>465</v>
      </c>
      <c r="BO3" s="73" t="s">
        <v>466</v>
      </c>
      <c r="BP3" s="51" t="s">
        <v>467</v>
      </c>
      <c r="BQ3" s="81" t="s">
        <v>576</v>
      </c>
      <c r="BR3" s="160" t="s">
        <v>577</v>
      </c>
      <c r="BS3" s="160" t="s">
        <v>578</v>
      </c>
      <c r="BT3" s="160" t="s">
        <v>579</v>
      </c>
      <c r="BU3" s="160" t="s">
        <v>580</v>
      </c>
      <c r="BV3" s="160" t="s">
        <v>581</v>
      </c>
      <c r="BW3" s="160" t="s">
        <v>582</v>
      </c>
      <c r="BX3" s="160" t="s">
        <v>622</v>
      </c>
      <c r="BY3" s="230" t="s">
        <v>623</v>
      </c>
      <c r="BZ3" s="81" t="s">
        <v>629</v>
      </c>
      <c r="CA3" s="160" t="s">
        <v>630</v>
      </c>
      <c r="CB3" s="160" t="s">
        <v>560</v>
      </c>
      <c r="CC3" s="230" t="s">
        <v>631</v>
      </c>
      <c r="CD3" s="81" t="s">
        <v>562</v>
      </c>
      <c r="CE3" s="160" t="s">
        <v>956</v>
      </c>
      <c r="CF3" s="160" t="s">
        <v>563</v>
      </c>
      <c r="CG3" s="160" t="s">
        <v>956</v>
      </c>
      <c r="CH3" s="160" t="s">
        <v>564</v>
      </c>
      <c r="CI3" s="160" t="s">
        <v>956</v>
      </c>
      <c r="CJ3" s="160" t="s">
        <v>565</v>
      </c>
      <c r="CK3" s="160" t="s">
        <v>956</v>
      </c>
      <c r="CL3" s="160" t="s">
        <v>566</v>
      </c>
      <c r="CM3" s="160" t="s">
        <v>956</v>
      </c>
      <c r="CN3" s="160" t="s">
        <v>567</v>
      </c>
      <c r="CO3" s="160" t="s">
        <v>956</v>
      </c>
      <c r="CP3" s="160" t="s">
        <v>632</v>
      </c>
      <c r="CQ3" s="160" t="s">
        <v>956</v>
      </c>
      <c r="CR3" s="230" t="s">
        <v>633</v>
      </c>
      <c r="CS3" s="129" t="s">
        <v>471</v>
      </c>
      <c r="CT3" s="66" t="s">
        <v>619</v>
      </c>
      <c r="CU3" s="67" t="s">
        <v>603</v>
      </c>
      <c r="CV3" s="68" t="s">
        <v>9</v>
      </c>
      <c r="CW3" s="14" t="s">
        <v>452</v>
      </c>
      <c r="CX3" s="14" t="s">
        <v>453</v>
      </c>
      <c r="CZ3" s="14" t="s">
        <v>645</v>
      </c>
      <c r="DA3" s="14" t="s">
        <v>646</v>
      </c>
      <c r="DB3" s="14" t="s">
        <v>647</v>
      </c>
      <c r="DC3" s="66" t="s">
        <v>649</v>
      </c>
      <c r="DD3" s="68" t="s">
        <v>650</v>
      </c>
      <c r="DE3" s="66" t="s">
        <v>651</v>
      </c>
      <c r="DF3" s="68" t="s">
        <v>652</v>
      </c>
      <c r="DG3" s="67" t="s">
        <v>653</v>
      </c>
      <c r="DH3" s="68" t="s">
        <v>654</v>
      </c>
      <c r="DI3" s="264" t="s">
        <v>681</v>
      </c>
      <c r="DJ3" s="263" t="s">
        <v>682</v>
      </c>
      <c r="DK3" s="262" t="s">
        <v>683</v>
      </c>
      <c r="DL3" s="263" t="s">
        <v>682</v>
      </c>
      <c r="DM3" s="66" t="s">
        <v>767</v>
      </c>
      <c r="DN3" s="67" t="s">
        <v>768</v>
      </c>
      <c r="DO3" s="66" t="s">
        <v>769</v>
      </c>
      <c r="DP3" s="68" t="s">
        <v>770</v>
      </c>
      <c r="DQ3" s="67" t="s">
        <v>771</v>
      </c>
      <c r="DR3" s="68" t="s">
        <v>772</v>
      </c>
      <c r="DS3" s="66" t="s">
        <v>767</v>
      </c>
      <c r="DT3" s="67" t="s">
        <v>768</v>
      </c>
      <c r="DU3" s="66" t="s">
        <v>769</v>
      </c>
      <c r="DV3" s="68" t="s">
        <v>770</v>
      </c>
      <c r="DW3" s="67" t="s">
        <v>771</v>
      </c>
      <c r="DX3" s="68" t="s">
        <v>772</v>
      </c>
    </row>
    <row r="4" spans="1:128" ht="15.75" thickBot="1" x14ac:dyDescent="0.3">
      <c r="A4" s="311" t="s">
        <v>298</v>
      </c>
      <c r="B4" s="311"/>
      <c r="L4" s="58">
        <v>0</v>
      </c>
      <c r="M4" s="59">
        <f t="shared" ref="M4:M35" si="0">VinMin+(L4*DC_Step)</f>
        <v>9</v>
      </c>
      <c r="N4" s="40">
        <f t="shared" ref="N4:N35" si="1">(M4*Q4)/(S4*0.9*RR*Fsw)</f>
        <v>5.6239388294132919E-5</v>
      </c>
      <c r="O4" s="26">
        <f t="shared" ref="O4:O35" si="2">(M4*Q4)/(S4*RR*Fsw)</f>
        <v>5.0615449464719643E-5</v>
      </c>
      <c r="P4" s="41">
        <f t="shared" ref="P4:P35" si="3">(M4*Q4)/(S4*1.1*RR*Fsw)</f>
        <v>4.6014044967926935E-5</v>
      </c>
      <c r="Q4" s="60">
        <f t="shared" ref="Q4:Q35" si="4">IF(AND(Vout1&lt;&gt;0),(Np*(ABS(Vout1)+Vdiode1))/((Ns1_Flyback*M4)+(Np*(ABS(Vout1)+Vdiode1))),0)</f>
        <v>0.49995283463824169</v>
      </c>
      <c r="R4" s="61">
        <f t="shared" ref="R4:R35" si="5">(Pout_Flyback)/(eff*M4)</f>
        <v>0.74074074074074081</v>
      </c>
      <c r="S4" s="28">
        <f t="shared" ref="S4:S35" si="6">(Pout_Flyback)/(eff*Q4*M4)</f>
        <v>1.4816212438853948</v>
      </c>
      <c r="T4" s="12">
        <f t="shared" ref="T4:T35" si="7">(M4*Q4)/(Lm_Flyback_CCM*Fsw)</f>
        <v>0.18516771653268213</v>
      </c>
      <c r="U4" s="12">
        <f>(S4+(0.5*T4))</f>
        <v>1.5742051021517358</v>
      </c>
      <c r="V4" s="55">
        <f t="shared" ref="V4:V35" si="8">SUM(W4,(Ns1_Flyback/Np)*Y4,(Ns2_Flyback/Np)*AA4,(Ns3_Flyback/Np)*AC4,(Ns4_Flyback/Np)*AE4,(Ns5_Flyback/Np)*AG4,(Ns6_Flyback/Np)*AI4,(NsAux_Flyback/Np)*AK4)</f>
        <v>2.0560904414370289</v>
      </c>
      <c r="W4" s="54">
        <f>S4*SQRT(Q4)*SQRT(1+((1/3)*((T4/(2*S4))^2)))</f>
        <v>1.0482965760689618</v>
      </c>
      <c r="X4" s="55">
        <f>SQRT((W4^2)-(R4^2))</f>
        <v>0.74177413435948758</v>
      </c>
      <c r="Y4" s="54">
        <f t="shared" ref="Y4:Y35" si="9">IF(AND(Vout2&lt;&gt;0,Iout2&lt;&gt;0,Ns2_Flyback&lt;&gt;0),(Iout1/(1-Q4))*SQRT(1-Q4)*SQRT(1+((1/3)*((ABS(Vout2)*(1-Q4)/(Lm_Flyback_CCM*Fsw*((Ns2_Flyback/Np)^2)))/((2*Iout1/(1-Q4))))^2)),0)</f>
        <v>0.70966063025752535</v>
      </c>
      <c r="Z4" s="55">
        <f>IF(AND(Iout1&lt;&gt;0,Vout1&lt;&gt;0),SQRT((Y4^2)-(Iout1^2)),0)</f>
        <v>0.50360521257976276</v>
      </c>
      <c r="AA4" s="54">
        <f t="shared" ref="AA4:AA35" si="10">IF(AND(Vout2&lt;&gt;0,Iout2&lt;&gt;0,Ns2_Flyback&lt;&gt;0),(Iout2/(1-Q4))*SQRT(1-Q4)*SQRT(1+((1/3)*((ABS(Vout2)*(1-Q4)/(Lm_Flyback_CCM*Fsw*((Ns2_Flyback/Np)^2)))/((2*Iout2/(1-Q4))))^2)),0)</f>
        <v>0.70966063025752535</v>
      </c>
      <c r="AB4" s="55">
        <f>IF(AND(Iout2&lt;&gt;0,Vout2&lt;&gt;0),SQRT((AA4^2)-(Iout2^2)),0)</f>
        <v>0.50360521257976276</v>
      </c>
      <c r="AC4" s="54">
        <f t="shared" ref="AC4:AC35" si="11">IF(AND(Vout3&lt;&gt;0,Iout3&lt;&gt;0,Ns3_Flyback&lt;&gt;0),(Iout3/(1-Q4))*SQRT(1-Q4)*SQRT(1+((1/3)*((ABS(Vout3)*(1-Q4)/(Lm_Flyback_CCM*Fsw*((Ns3_Flyback/Np)^2)))/((2*Iout3/(1-Q4))))^2)),0)</f>
        <v>0</v>
      </c>
      <c r="AD4" s="55">
        <f>IF(AND(Iout3&lt;&gt;0,Vout3&lt;&gt;0),SQRT((AC4^2)-(Iout3^2)),0)</f>
        <v>0</v>
      </c>
      <c r="AE4" s="54">
        <f t="shared" ref="AE4:AE35" si="12">IF(AND(Vout4&lt;&gt;0,Iout4&lt;&gt;0,Ns4_Flyback&lt;&gt;0),(Iout4/(1-Q4))*SQRT(1-Q4)*SQRT(1+((1/3)*((ABS(Vout4)*(1-Q4)/(Lm_Flyback_CCM*Fsw*((Ns4_Flyback/Np)^2)))/((2*Iout4/(1-Q4))))^2)),0)</f>
        <v>0</v>
      </c>
      <c r="AF4" s="55">
        <f>IF(AND(Iout4&lt;&gt;0,Vout4&lt;&gt;0),SQRT((AE4^2)-(Iout4^2)),0)</f>
        <v>0</v>
      </c>
      <c r="AG4" s="54">
        <f t="shared" ref="AG4:AG35" si="13">IF(AND(Vout5&lt;&gt;0,Iout5&lt;&gt;0,Ns5_Flyback&lt;&gt;0),(Iout5/(1-Q4))*SQRT(1-Q4)*SQRT(1+((1/3)*((ABS(Vout5)*(1-Q4)/(Lm_Flyback_CCM*Fsw*((Ns5_Flyback/Np)^2)))/((2*Iout5/(1-Q4))))^2)),0)</f>
        <v>0</v>
      </c>
      <c r="AH4" s="55">
        <f>IF(AND(Iout5&lt;&gt;0,Vout5&lt;&gt;0),SQRT((AG4^2)-(Iout5^2)),0)</f>
        <v>0</v>
      </c>
      <c r="AI4" s="54">
        <f>IF(AND(Vout6&lt;&gt;0,Iout6&lt;&gt;0,Ns6_Flyback&lt;&gt;0),(Iout6/(1-Q4))*SQRT(1-Q4)*SQRT(1+((1/3)*((ABS(Vout6)*(1-Q4)/(Lm_Flyback_CCM*Fsw*((Ns6_Flyback/Np)^2)))/((2*Iout6/(1-Q4))))^2)),0)</f>
        <v>0</v>
      </c>
      <c r="AJ4" s="177">
        <f>IF(AND(Iout6&lt;&gt;0,Vout6&lt;&gt;0),SQRT((AI4^2)-(Iout6^2)),0)</f>
        <v>0</v>
      </c>
      <c r="AK4" s="54">
        <f t="shared" ref="AK4:AK35" si="14">IF(AND(VOUTAUX&lt;&gt;0,IoutAux&lt;&gt;0,NsAux_Flyback&lt;&gt;0),(IoutAux/(1-Q4))*SQRT(1-Q4)*SQRT(1+((1/3)*((ABS(VOUTAUX)*(1-Q4)/(Lm_Flyback_CCM*Fsw*((NsAux_Flyback/Np)^2)))/((2*IoutAux/(1-Q4))))^2)),0)</f>
        <v>0.14450264333448459</v>
      </c>
      <c r="AL4" s="55">
        <f t="shared" ref="AL4:AL35" si="15">IF(AND(IoutAux&lt;&gt;0,VOUTAUX&lt;&gt;0),SQRT((AK4^2)-(IoutAux^2)),0)</f>
        <v>0.10431209867821307</v>
      </c>
      <c r="AM4" s="179">
        <f t="shared" ref="AM4:AM35" si="16">((M4*Q4)/(2*Np_T_Flyback_CCM*(Ae_Flyback_CCM/100)*Fsw))*(10^4)</f>
        <v>1.6221701318567219E-2</v>
      </c>
      <c r="AN4" s="52">
        <f t="shared" ref="AN4:AN35" si="17">CM_3F35*(Fsw^x_3F35)*(AM4^y_3F35)*(TC_3F35)</f>
        <v>0</v>
      </c>
      <c r="AO4" s="74">
        <f>AN4*(Ve_Flyback_CCM/1000)</f>
        <v>0</v>
      </c>
      <c r="AP4" s="78">
        <v>0</v>
      </c>
      <c r="AQ4" s="87">
        <f t="shared" ref="AQ4:AQ35" si="18">CM_3F36*(Fsw^x_3F36)*(AM4^y_3F36)*(TC_3F36)*(Ve_Flyback_CCM/1000)</f>
        <v>0</v>
      </c>
      <c r="AR4" s="46">
        <f t="shared" ref="AR4:AR35" si="19">CM_3C92*(Fsw^x_3C92)*(AM4^y_3C92)*(TC_3C92)/1000</f>
        <v>3.8296139621983509</v>
      </c>
      <c r="AS4" s="69">
        <f t="shared" ref="AS4:AS35" si="20">(Ve_Flyback_CCM/1000)*AR4/1000</f>
        <v>2.8722104716487631E-3</v>
      </c>
      <c r="AT4" s="42">
        <f t="shared" ref="AT4:AT35" si="21">(CM_3C96*(Fsw^x_3C96)*(AM4^y_3C96)*(TC_3C96))/1000</f>
        <v>5.2289641812111549</v>
      </c>
      <c r="AU4" s="79">
        <f t="shared" ref="AU4:AU35" si="22">((Ve_Flyback_CCM/1000)*AT4)/1000</f>
        <v>3.9217231359083664E-3</v>
      </c>
      <c r="AV4" s="83">
        <f>RdcPri_Flyback_CCM*(R4^2)</f>
        <v>5.9017873216545086E-2</v>
      </c>
      <c r="AW4" s="84">
        <f>RacPri_Flyback_CCM*(X4^2)</f>
        <v>5.918265755285284E-2</v>
      </c>
      <c r="AX4" s="42">
        <f t="shared" ref="AX4:AX35" si="23">Rdc1_Flyback_CCM*(Iout1^2)</f>
        <v>4.1058732612055629E-2</v>
      </c>
      <c r="AY4" s="43">
        <f>Rac1_Flyback_CCM*(Z4^2)</f>
        <v>4.1652969102336311E-2</v>
      </c>
      <c r="AZ4" s="85">
        <f t="shared" ref="AZ4:AZ35" si="24">Rdc2_Flyback_CCM*(Iout2^2)</f>
        <v>4.1058732612055629E-2</v>
      </c>
      <c r="BA4" s="86">
        <f>Rac2_Flyback_CCM*(AB4^2)</f>
        <v>4.1652969102336311E-2</v>
      </c>
      <c r="BB4" s="85">
        <f t="shared" ref="BB4:BB35" si="25">Rdc3_Flyback_CCM*(Iout3^2)</f>
        <v>0</v>
      </c>
      <c r="BC4" s="86">
        <f>Rac3_Flyback_CCM*(AD4^2)</f>
        <v>0</v>
      </c>
      <c r="BD4" s="85">
        <f t="shared" ref="BD4:BD35" si="26">Rdc4_Flyback_CCM*(Iout4^2)</f>
        <v>0</v>
      </c>
      <c r="BE4" s="86">
        <f>Rac4_Flyback_CCM*(AF4^2)</f>
        <v>0</v>
      </c>
      <c r="BF4" s="85">
        <f t="shared" ref="BF4:BF35" si="27">Rdc5_Flyback_CCM*(Iout5^2)</f>
        <v>0</v>
      </c>
      <c r="BG4" s="86">
        <f>Rac5_Flyback_CCM*(AH4^2)</f>
        <v>0</v>
      </c>
      <c r="BH4" s="85">
        <f t="shared" ref="BH4:BH35" si="28">Rdc6_Flyback_CCM*(Iout6^2)</f>
        <v>0</v>
      </c>
      <c r="BI4" s="86">
        <f>Rac6_Flyback_CCM*(AJ4^2)</f>
        <v>0</v>
      </c>
      <c r="BJ4" s="85">
        <f t="shared" ref="BJ4:BJ35" si="29">RdcAUX_Flyback_CCM*(IoutAux^2)</f>
        <v>3.1673879443585777E-3</v>
      </c>
      <c r="BK4" s="207">
        <f t="shared" ref="BK4:BK35" si="30">RacAUX_Flyback_CCM*(AL4^2)</f>
        <v>3.4464392346348874E-3</v>
      </c>
      <c r="BL4" s="85">
        <f>SUM(AV4:BK4)</f>
        <v>0.29023776137717527</v>
      </c>
      <c r="BM4" s="176">
        <f>BL4+AO4</f>
        <v>0.29023776137717527</v>
      </c>
      <c r="BN4" s="176">
        <f>BL4+AQ4</f>
        <v>0.29023776137717527</v>
      </c>
      <c r="BO4" s="176">
        <f>BL4+AS4</f>
        <v>0.29310997184882404</v>
      </c>
      <c r="BP4" s="86">
        <f>BL4+AU4</f>
        <v>0.29415948451308366</v>
      </c>
      <c r="BQ4" s="211">
        <f>(R4^2)*$B$100</f>
        <v>3.84087791495199E-2</v>
      </c>
      <c r="BR4" s="237">
        <f t="shared" ref="BR4:BR35" si="31">IF(AND(Vout1&lt;&gt;0,Iout1&lt;&gt;0),(Iout1^2)*$B$101,0)</f>
        <v>2.5000000000000001E-3</v>
      </c>
      <c r="BS4" s="237">
        <f t="shared" ref="BS4:BS35" si="32">IF(AND(Vout2&lt;&gt;0,Iout2&lt;&gt;0),(Iout2^2)*$B$102,0)</f>
        <v>2.5000000000000001E-3</v>
      </c>
      <c r="BT4" s="237">
        <f t="shared" ref="BT4:BT35" si="33">IF(AND(Vout3&lt;&gt;0,Iout3&lt;&gt;0),(Iout3^2)*$B$103,0)</f>
        <v>0</v>
      </c>
      <c r="BU4" s="237">
        <f t="shared" ref="BU4:BU35" si="34">IF(AND(Vout4&lt;&gt;0,Iout4&lt;&gt;0),(Iout4^2)*$B$104,0)</f>
        <v>0</v>
      </c>
      <c r="BV4" s="237">
        <f t="shared" ref="BV4:BV35" si="35">IF(AND(Vout5&lt;&gt;0,Iout5&lt;&gt;0),(Iout5^2)*$B$105,0)</f>
        <v>0</v>
      </c>
      <c r="BW4" s="237">
        <f t="shared" ref="BW4:BW35" si="36">IF(AND(Vout6&lt;&gt;0,Iout6&lt;&gt;0),(Iout6^2)*$B$106,0)</f>
        <v>0</v>
      </c>
      <c r="BX4" s="212">
        <f t="shared" ref="BX4:BX35" si="37">IF(AND(VOUTAUX&lt;&gt;0,IoutAux&lt;&gt;0),(IoutAux^2)*$B$107,0)</f>
        <v>1.0000000000000002E-4</v>
      </c>
      <c r="BY4" s="238">
        <f>SUM(BQ4:BX4)</f>
        <v>4.3508779149519908E-2</v>
      </c>
      <c r="BZ4" s="244">
        <f>(R4^2)*$B$88</f>
        <v>2.7434842249657071E-3</v>
      </c>
      <c r="CA4" s="243">
        <f t="shared" ref="CA4:CA35" si="38">0.5*M4*S4*Fsw*T_Rise_Fall</f>
        <v>6.0005660377358494E-2</v>
      </c>
      <c r="CB4" s="243">
        <f t="shared" ref="CB4:CB35" si="39">$B$89*$B$80*Fsw</f>
        <v>0.23099999999999998</v>
      </c>
      <c r="CC4" s="238">
        <f>SUM(BZ4:CB4)</f>
        <v>0.29374914460232415</v>
      </c>
      <c r="CD4" s="244">
        <f t="shared" ref="CD4:CD35" si="40">IF(AND(Iout1&lt;&gt;0,Vout1&lt;&gt;0,Vdiode1&lt;&gt;0),Vdiode1*Iout1,0)</f>
        <v>0.15</v>
      </c>
      <c r="CE4" s="243">
        <f t="shared" ref="CE4:CE35" si="41">ABS(Vout1)*Fsw*Flyback_Qrr</f>
        <v>3.0000000000000002E-2</v>
      </c>
      <c r="CF4" s="243">
        <f t="shared" ref="CF4:CF54" si="42">IF(AND(Iout2&lt;&gt;0,Vout2&lt;&gt;0,Vdiode2&lt;&gt;0),Vdiode2*Iout2,0)</f>
        <v>0.15</v>
      </c>
      <c r="CG4" s="243">
        <f t="shared" ref="CG4:CG35" si="43">ABS(Vout2)*Fsw*Flyback_Qrr</f>
        <v>3.0000000000000002E-2</v>
      </c>
      <c r="CH4" s="243">
        <f t="shared" ref="CH4:CH54" si="44">IF(AND(Iout3&lt;&gt;0,Vout3&lt;&gt;0,Vdiode3&lt;&gt;0),Vdiode3*Iout3,0)</f>
        <v>0</v>
      </c>
      <c r="CI4" s="243">
        <f t="shared" ref="CI4:CI35" si="45">ABS(Vout3)*Fsw*Flyback_Qrr</f>
        <v>0</v>
      </c>
      <c r="CJ4" s="243">
        <f t="shared" ref="CJ4:CJ54" si="46">IF(AND(Iout4&lt;&gt;0,Vout4&lt;&gt;0,Vdiode4&lt;&gt;0),Vdiode4*Iout4,0)</f>
        <v>0</v>
      </c>
      <c r="CK4" s="243">
        <f t="shared" ref="CK4:CK35" si="47">ABS(Vout4)*Fsw*Flyback_Qrr</f>
        <v>0</v>
      </c>
      <c r="CL4" s="243">
        <f t="shared" ref="CL4:CL54" si="48">IF(AND(Iout5&lt;&gt;0,Vout5&lt;&gt;0,Vdiode5&lt;&gt;0),Vdiode5*Iout5,0)</f>
        <v>0</v>
      </c>
      <c r="CM4" s="243">
        <f t="shared" ref="CM4:CM35" si="49">ABS(Vout5)*Fsw*Flyback_Qrr</f>
        <v>0</v>
      </c>
      <c r="CN4" s="243">
        <f t="shared" ref="CN4:CN54" si="50">IF(AND(Iout6&lt;&gt;0,Vout6&lt;&gt;0,Vdiode6&lt;&gt;0),Vdiode6*Iout6,0)</f>
        <v>0</v>
      </c>
      <c r="CO4" s="243">
        <f t="shared" ref="CO4:CO35" si="51">ABS(Vout6)*Fsw*Flyback_Qrr</f>
        <v>0</v>
      </c>
      <c r="CP4" s="243">
        <f t="shared" ref="CP4:CP54" si="52">IF(AND(IoutAux&lt;&gt;0,VOUTAUX&lt;&gt;0,VdiodeAux&lt;&gt;0),VdiodeAux*IoutAux,0)</f>
        <v>0.03</v>
      </c>
      <c r="CQ4" s="243">
        <f t="shared" ref="CQ4:CQ35" si="53">ABS(VOUTAUX)*Fsw*Flyback_Qrr</f>
        <v>6.0000000000000005E-2</v>
      </c>
      <c r="CR4" s="238">
        <f t="shared" ref="CR4:CR35" si="54">SUM(CD4:CP4)</f>
        <v>0.39</v>
      </c>
      <c r="CS4" s="245">
        <f t="shared" ref="CS4:CS35" si="55">IF(AND(Vout1&lt;&gt;0,Ns1_Flyback&lt;&gt;0),0.5*(U4^2)*LL_Flyback_CCM*Fsw*((Vclamp_Flyback_CCM-M4)/((Vclamp_Flyback_CCM-M4)+((Np/Ns1_Flyback)*ABS(Vout1)))),0)</f>
        <v>0.34000113959307376</v>
      </c>
      <c r="CT4" s="188">
        <f>BY4+CC4+CR4+CS4</f>
        <v>1.0672590633449177</v>
      </c>
      <c r="CU4" s="206">
        <f t="shared" ref="CU4:CU35" si="56">CT4+Pout_Flyback</f>
        <v>7.0672590633449177</v>
      </c>
      <c r="CV4" s="227">
        <f t="shared" ref="CV4:CV35" si="57">Pout_Flyback/CU4</f>
        <v>0.84898543356357647</v>
      </c>
      <c r="CW4">
        <f t="shared" ref="CW4:CW35" si="58">M4+(ABS(Vout1)*(Np/Ns1_Flyback))</f>
        <v>17.488964346349746</v>
      </c>
      <c r="CX4">
        <f t="shared" ref="CX4:CX35" si="59">IF(AND(Vout1&lt;&gt;0,Ns1_Flyback&lt;&gt;0),M4+(ABS(Vout1)*(Np/Ns1_Flyback))+(U4*SQRT(LL_Flyback_CCM/Coss_Flyback_CCM)),0)</f>
        <v>87.889556725115369</v>
      </c>
      <c r="DA4" s="22">
        <v>1</v>
      </c>
      <c r="DB4" s="22">
        <f>DA4*2*PI()</f>
        <v>6.2831853071795862</v>
      </c>
      <c r="DC4" s="260">
        <f>20*LOG($B$123*IMABS(IMDIV(IMPRODUCT(COMPLEX(1,-DB4/$B$120),COMPLEX(1,DB4/$B$119)),IMPRODUCT(COMPLEX(1,DB4/$B$113),COMPLEX(1,DB4/$B$116)))))</f>
        <v>23.930308373506936</v>
      </c>
      <c r="DD4" s="93">
        <f>IMARGUMENT(IMDIV(IMPRODUCT(COMPLEX(1,-DB4/$B$120),COMPLEX(1,DB4/$B$119)),IMPRODUCT(COMPLEX(1,DB4/$B$113),COMPLEX(1,DB4/$B$116))))*(180/PI())</f>
        <v>-5.2029556636206724E-2</v>
      </c>
      <c r="DE4" s="260">
        <f>20*LOG($B$124*IMABS(IMDIV(IMPRODUCT(COMPLEX(1,-DB4/$B$121),COMPLEX(1,DB4/$B$119)),IMPRODUCT(COMPLEX(1,DB4/$B$113),COMPLEX(1,DB4/$B$117)))))</f>
        <v>25.513824043958977</v>
      </c>
      <c r="DF4" s="93">
        <f>IMARGUMENT(IMDIV(IMPRODUCT(COMPLEX(1,-DB4/$B$121),COMPLEX(1,DB4/$B$119)),IMPRODUCT(COMPLEX(1,DB4/$B$113),COMPLEX(1,DB4/$B$117))))*(180/PI())</f>
        <v>-5.1035380863904724E-2</v>
      </c>
      <c r="DG4" s="257">
        <f>20*LOG($B$125*IMABS(IMDIV(IMPRODUCT(COMPLEX(1,-DB4/$B$122),COMPLEX(1,DB4/$B$119)),IMPRODUCT(COMPLEX(1,DB4/$B$115),COMPLEX(1,DB4/$B$118)))))</f>
        <v>30.706031895150353</v>
      </c>
      <c r="DH4" s="93">
        <f>IMARGUMENT(IMDIV(IMPRODUCT(COMPLEX(1,-DB4/$B$122),COMPLEX(1,DB4/$B$119)),IMPRODUCT(COMPLEX(1,DB4/$B$115),COMPLEX(1,DB4/$B$118))))*(180/PI())</f>
        <v>-6.3004348480685701E-2</v>
      </c>
      <c r="DI4" s="91">
        <f>20*LOG($B$135*IMABS(IMDIV(COMPLEX(1,DB4/$B$134),IMPRODUCT(COMPLEX(1,DB4/($B$133)),COMPLEX(0,DB4)))))</f>
        <v>36.074146183192738</v>
      </c>
      <c r="DJ4" s="257">
        <f>IMARGUMENT(IMDIV(COMPLEX(-1,-DB4/$B$134),IMPRODUCT(COMPLEX(1,DB4/($B$133)),COMPLEX(0,DB4))))*(180/PI())</f>
        <v>90.112273046939066</v>
      </c>
      <c r="DK4" s="92">
        <f>20*LOG(IMABS(IMDIV(COMPLEX(1,$B$129/DB4),COMPLEX(1,DB4/$B$128)))*$B$130)</f>
        <v>36.847300894096328</v>
      </c>
      <c r="DL4" s="93">
        <f>IMARGUMENT(IMDIV(COMPLEX(-1,-$B$129/-DB4),COMPLEX(1,DB4/$B$128)))*(180/PI())</f>
        <v>90.116423829753501</v>
      </c>
      <c r="DM4" s="260">
        <f>DC4+DI4</f>
        <v>60.00445455669967</v>
      </c>
      <c r="DN4" s="270">
        <f>IMARGUMENT(IMPRODUCT(IMDIV(IMPRODUCT(COMPLEX(1,-DB4/$B$120),COMPLEX(1,DB4/$B$119)),IMPRODUCT(COMPLEX(1,DB4/$B$113),COMPLEX(1,DB4/$B$116))),IMDIV(COMPLEX(-1,-DB4/$B$134),IMPRODUCT(COMPLEX(1,DB4/($B$133)),COMPLEX(0,DB4)))))*(180/PI())</f>
        <v>90.060243490302867</v>
      </c>
      <c r="DO4" s="260">
        <f>DE4+DI4</f>
        <v>61.587970227151715</v>
      </c>
      <c r="DP4" s="267">
        <f>DF4+DJ4</f>
        <v>90.061237666075158</v>
      </c>
      <c r="DQ4" s="257">
        <f>DG4+DI4</f>
        <v>66.780178078343084</v>
      </c>
      <c r="DR4" s="267">
        <f>DH4+DJ4</f>
        <v>90.049268698458377</v>
      </c>
      <c r="DS4" s="260">
        <f>DC4+DK4</f>
        <v>60.777609267603268</v>
      </c>
      <c r="DT4" s="269">
        <f>IMARGUMENT(IMPRODUCT(IMDIV(IMPRODUCT(COMPLEX(1,-DB4/$B$120),COMPLEX(1,DB4/$B$119)),IMPRODUCT(COMPLEX(1,DB4/$B$113),COMPLEX(1,DB4/$B$116))),IMDIV(COMPLEX(-1,-$B$129/-DB4),COMPLEX(1,DB4/$B$128))))*(180/PI())</f>
        <v>90.064394273117287</v>
      </c>
      <c r="DU4" s="260">
        <f>DE4+DK4</f>
        <v>62.361124938055305</v>
      </c>
      <c r="DV4" s="93">
        <f>DF4+DL4</f>
        <v>90.065388448889593</v>
      </c>
      <c r="DW4" s="257">
        <f>DG4+DK4</f>
        <v>67.553332789246682</v>
      </c>
      <c r="DX4" s="93">
        <f>DH4+DL4</f>
        <v>90.053419481272812</v>
      </c>
    </row>
    <row r="5" spans="1:128" ht="15.75" thickBot="1" x14ac:dyDescent="0.3">
      <c r="A5" s="12" t="s">
        <v>292</v>
      </c>
      <c r="B5" s="8">
        <f>IF(AND(Vout1&lt;&gt;0,IoutPri_FBB=0),(Np*(ABS(Vout1)+Vdiode1))/((Ns1_Flyback*VinMax)+(Np*(ABS(Vout1)+Vdiode1))),0)</f>
        <v>0.15786965328249733</v>
      </c>
      <c r="C5" s="12"/>
      <c r="L5" s="58">
        <v>1</v>
      </c>
      <c r="M5" s="62">
        <f t="shared" si="0"/>
        <v>9.7799999999999994</v>
      </c>
      <c r="N5" s="42">
        <f t="shared" si="1"/>
        <v>6.1007567669130006E-5</v>
      </c>
      <c r="O5" s="19">
        <f t="shared" si="2"/>
        <v>5.4906810902217003E-5</v>
      </c>
      <c r="P5" s="43">
        <f t="shared" si="3"/>
        <v>4.9915282638379097E-5</v>
      </c>
      <c r="Q5" s="60">
        <f t="shared" si="4"/>
        <v>0.4791861430216936</v>
      </c>
      <c r="R5" s="63">
        <f t="shared" si="5"/>
        <v>0.681663258350375</v>
      </c>
      <c r="S5" s="28">
        <f t="shared" si="6"/>
        <v>1.4225437614950291</v>
      </c>
      <c r="T5" s="12">
        <f t="shared" si="7"/>
        <v>0.19285763287045943</v>
      </c>
      <c r="U5" s="12">
        <f t="shared" ref="U5:U54" si="60">(S5+(0.5*T5))</f>
        <v>1.518972577930259</v>
      </c>
      <c r="V5" s="55">
        <f t="shared" si="8"/>
        <v>1.9741371745826395</v>
      </c>
      <c r="W5" s="54">
        <f t="shared" ref="W5:W54" si="61">S5*SQRT(Q5)*SQRT(1+((1/3)*((T5/(2*S5))^2)))</f>
        <v>0.98548518797328344</v>
      </c>
      <c r="X5" s="55">
        <f t="shared" ref="X5:X54" si="62">SQRT((W5^2)-(R5^2))</f>
        <v>0.71169955594329803</v>
      </c>
      <c r="Y5" s="54">
        <f t="shared" si="9"/>
        <v>0.69581550092523548</v>
      </c>
      <c r="Z5" s="55">
        <f t="shared" ref="Z5:Z54" si="63">IF(AND(Iout1&lt;&gt;0,Vout1&lt;&gt;0),SQRT((Y5^2)-(Iout1^2)),0)</f>
        <v>0.48390000137201522</v>
      </c>
      <c r="AA5" s="54">
        <f t="shared" si="10"/>
        <v>0.69581550092523548</v>
      </c>
      <c r="AB5" s="55">
        <f t="shared" ref="AB5:AB54" si="64">IF(AND(Iout2&lt;&gt;0,Vout2&lt;&gt;0),SQRT((AA5^2)-(Iout2^2)),0)</f>
        <v>0.48390000137201522</v>
      </c>
      <c r="AC5" s="54">
        <f t="shared" si="11"/>
        <v>0</v>
      </c>
      <c r="AD5" s="55">
        <f t="shared" ref="AD5:AD54" si="65">IF(AND(Iout3&lt;&gt;0,Vout3&lt;&gt;0),SQRT((AC5^2)-(Iout3^2)),0)</f>
        <v>0</v>
      </c>
      <c r="AE5" s="54">
        <f t="shared" si="12"/>
        <v>0</v>
      </c>
      <c r="AF5" s="55">
        <f t="shared" ref="AF5:AF54" si="66">IF(AND(Iout4&lt;&gt;0,Vout4&lt;&gt;0),SQRT((AE5^2)-(Iout4^2)),0)</f>
        <v>0</v>
      </c>
      <c r="AG5" s="54">
        <f t="shared" si="13"/>
        <v>0</v>
      </c>
      <c r="AH5" s="55">
        <f t="shared" ref="AH5:AH54" si="67">IF(AND(Iout5&lt;&gt;0,Vout5&lt;&gt;0),SQRT((AG5^2)-(Iout5^2)),0)</f>
        <v>0</v>
      </c>
      <c r="AI5" s="54">
        <f t="shared" ref="AI5:AI35" si="68">IF(AND(Vout6&lt;&gt;0,Iout6&lt;&gt;0,Ns6_Flyback&lt;&gt;0),(Iout6/(1-Q5))*SQRT(1-Q5)*SQRT(1+((1/3)*((ABS(Vout6)*(1-Q5)/(Lm_Flyback_CCM*Fsw*((Ns6_Flyback/Np)^2)))/((2*Iout6/(1-Q5))))^2)),0)</f>
        <v>0</v>
      </c>
      <c r="AJ5" s="177">
        <f t="shared" ref="AJ5:AJ54" si="69">IF(AND(Iout6&lt;&gt;0,Vout6&lt;&gt;0),SQRT((AI5^2)-(Iout6^2)),0)</f>
        <v>0</v>
      </c>
      <c r="AK5" s="54">
        <f t="shared" si="14"/>
        <v>0.14212054375057082</v>
      </c>
      <c r="AL5" s="55">
        <f t="shared" si="15"/>
        <v>0.10098638005175703</v>
      </c>
      <c r="AM5" s="179">
        <f t="shared" si="16"/>
        <v>1.6895379907535379E-2</v>
      </c>
      <c r="AN5" s="52">
        <f t="shared" si="17"/>
        <v>0</v>
      </c>
      <c r="AO5" s="74">
        <f t="shared" ref="AO5:AO35" si="70">AN5*(Ve_Flyback_CCM/1000)</f>
        <v>0</v>
      </c>
      <c r="AP5" s="78">
        <v>0</v>
      </c>
      <c r="AQ5" s="87">
        <f t="shared" si="18"/>
        <v>0</v>
      </c>
      <c r="AR5" s="46">
        <f t="shared" si="19"/>
        <v>4.2673803209186847</v>
      </c>
      <c r="AS5" s="69">
        <f t="shared" si="20"/>
        <v>3.2005352406890134E-3</v>
      </c>
      <c r="AT5" s="42">
        <f t="shared" si="21"/>
        <v>5.7794659175098761</v>
      </c>
      <c r="AU5" s="79">
        <f t="shared" si="22"/>
        <v>4.3345994381324077E-3</v>
      </c>
      <c r="AV5" s="83">
        <f t="shared" ref="AV5:AV54" si="71">RdcPri_Flyback_CCM*(R5^2)</f>
        <v>4.9979380005730906E-2</v>
      </c>
      <c r="AW5" s="84">
        <f t="shared" ref="AW5:AW54" si="72">RacPri_Flyback_CCM*(X5^2)</f>
        <v>5.4480926153308969E-2</v>
      </c>
      <c r="AX5" s="42">
        <f t="shared" si="23"/>
        <v>4.1058732612055629E-2</v>
      </c>
      <c r="AY5" s="43">
        <f t="shared" ref="AY5:AY54" si="73">Rac1_Flyback_CCM*(Z5^2)</f>
        <v>3.8457121786237836E-2</v>
      </c>
      <c r="AZ5" s="85">
        <f t="shared" si="24"/>
        <v>4.1058732612055629E-2</v>
      </c>
      <c r="BA5" s="86">
        <f t="shared" ref="BA5:BA54" si="74">Rac2_Flyback_CCM*(AB5^2)</f>
        <v>3.8457121786237836E-2</v>
      </c>
      <c r="BB5" s="85">
        <f t="shared" si="25"/>
        <v>0</v>
      </c>
      <c r="BC5" s="86">
        <f t="shared" ref="BC5:BC54" si="75">Rac3_Flyback_CCM*(AD5^2)</f>
        <v>0</v>
      </c>
      <c r="BD5" s="85">
        <f t="shared" si="26"/>
        <v>0</v>
      </c>
      <c r="BE5" s="86">
        <f t="shared" ref="BE5:BE54" si="76">Rac4_Flyback_CCM*(AF5^2)</f>
        <v>0</v>
      </c>
      <c r="BF5" s="85">
        <f t="shared" si="27"/>
        <v>0</v>
      </c>
      <c r="BG5" s="86">
        <f t="shared" ref="BG5:BG54" si="77">Rac5_Flyback_CCM*(AH5^2)</f>
        <v>0</v>
      </c>
      <c r="BH5" s="85">
        <f t="shared" si="28"/>
        <v>0</v>
      </c>
      <c r="BI5" s="86">
        <f t="shared" ref="BI5:BI54" si="78">Rac6_Flyback_CCM*(AJ5^2)</f>
        <v>0</v>
      </c>
      <c r="BJ5" s="85">
        <f t="shared" si="29"/>
        <v>3.1673879443585777E-3</v>
      </c>
      <c r="BK5" s="207">
        <f t="shared" si="30"/>
        <v>3.2301810796668533E-3</v>
      </c>
      <c r="BL5" s="85">
        <f t="shared" ref="BL5:BL54" si="79">SUM(AV5:BK5)</f>
        <v>0.26988958397965218</v>
      </c>
      <c r="BM5" s="176">
        <f t="shared" ref="BM5:BM54" si="80">BL5+AO5</f>
        <v>0.26988958397965218</v>
      </c>
      <c r="BN5" s="176">
        <f t="shared" ref="BN5:BN54" si="81">BL5+AQ5</f>
        <v>0.26988958397965218</v>
      </c>
      <c r="BO5" s="176">
        <f t="shared" ref="BO5:BO54" si="82">BL5+AS5</f>
        <v>0.27309011922034121</v>
      </c>
      <c r="BP5" s="86">
        <f t="shared" ref="BP5:BP54" si="83">BL5+AU5</f>
        <v>0.27422418341778459</v>
      </c>
      <c r="BQ5" s="211">
        <f t="shared" ref="BQ5:BQ54" si="84">(R5^2)*$B$100</f>
        <v>3.252653584493951E-2</v>
      </c>
      <c r="BR5" s="237">
        <f t="shared" si="31"/>
        <v>2.5000000000000001E-3</v>
      </c>
      <c r="BS5" s="237">
        <f t="shared" si="32"/>
        <v>2.5000000000000001E-3</v>
      </c>
      <c r="BT5" s="237">
        <f t="shared" si="33"/>
        <v>0</v>
      </c>
      <c r="BU5" s="237">
        <f t="shared" si="34"/>
        <v>0</v>
      </c>
      <c r="BV5" s="237">
        <f t="shared" si="35"/>
        <v>0</v>
      </c>
      <c r="BW5" s="237">
        <f t="shared" si="36"/>
        <v>0</v>
      </c>
      <c r="BX5" s="212">
        <f t="shared" si="37"/>
        <v>1.0000000000000002E-4</v>
      </c>
      <c r="BY5" s="238">
        <f t="shared" ref="BY5:BY54" si="85">SUM(BQ5:BX5)</f>
        <v>3.7626535844939517E-2</v>
      </c>
      <c r="BZ5" s="244">
        <f t="shared" ref="BZ5:BZ54" si="86">(R5^2)*$B$88</f>
        <v>2.3233239889242506E-3</v>
      </c>
      <c r="CA5" s="243">
        <f t="shared" si="38"/>
        <v>6.2606150943396235E-2</v>
      </c>
      <c r="CB5" s="243">
        <f t="shared" si="39"/>
        <v>0.23099999999999998</v>
      </c>
      <c r="CC5" s="238">
        <f t="shared" ref="CC5:CC54" si="87">SUM(BZ5:CB5)</f>
        <v>0.29592947493232047</v>
      </c>
      <c r="CD5" s="244">
        <f t="shared" si="40"/>
        <v>0.15</v>
      </c>
      <c r="CE5" s="243">
        <f t="shared" si="41"/>
        <v>3.0000000000000002E-2</v>
      </c>
      <c r="CF5" s="243">
        <f t="shared" si="42"/>
        <v>0.15</v>
      </c>
      <c r="CG5" s="243">
        <f t="shared" si="43"/>
        <v>3.0000000000000002E-2</v>
      </c>
      <c r="CH5" s="243">
        <f t="shared" si="44"/>
        <v>0</v>
      </c>
      <c r="CI5" s="243">
        <f t="shared" si="45"/>
        <v>0</v>
      </c>
      <c r="CJ5" s="243">
        <f t="shared" si="46"/>
        <v>0</v>
      </c>
      <c r="CK5" s="243">
        <f t="shared" si="47"/>
        <v>0</v>
      </c>
      <c r="CL5" s="243">
        <f t="shared" si="48"/>
        <v>0</v>
      </c>
      <c r="CM5" s="243">
        <f t="shared" si="49"/>
        <v>0</v>
      </c>
      <c r="CN5" s="243">
        <f t="shared" si="50"/>
        <v>0</v>
      </c>
      <c r="CO5" s="243">
        <f t="shared" si="51"/>
        <v>0</v>
      </c>
      <c r="CP5" s="243">
        <f t="shared" si="52"/>
        <v>0.03</v>
      </c>
      <c r="CQ5" s="243">
        <f t="shared" si="53"/>
        <v>6.0000000000000005E-2</v>
      </c>
      <c r="CR5" s="238">
        <f t="shared" si="54"/>
        <v>0.39</v>
      </c>
      <c r="CS5" s="246">
        <f t="shared" si="55"/>
        <v>0.31632779473906636</v>
      </c>
      <c r="CT5" s="188">
        <f t="shared" ref="CT5:CT54" si="88">BY5+CC5+CR5+CS5</f>
        <v>1.0398838055163264</v>
      </c>
      <c r="CU5" s="206">
        <f t="shared" si="56"/>
        <v>7.0398838055163262</v>
      </c>
      <c r="CV5" s="227">
        <f t="shared" si="57"/>
        <v>0.85228679417954423</v>
      </c>
      <c r="CW5">
        <f t="shared" si="58"/>
        <v>18.268964346349748</v>
      </c>
      <c r="CX5">
        <f t="shared" si="59"/>
        <v>86.199483150552851</v>
      </c>
      <c r="DA5" s="22">
        <v>2</v>
      </c>
      <c r="DB5" s="22">
        <f t="shared" ref="DB5:DB59" si="89">DA5*2*PI()</f>
        <v>12.566370614359172</v>
      </c>
      <c r="DC5" s="260">
        <f t="shared" ref="DC5:DC59" si="90">20*LOG($B$123*IMABS(IMDIV(IMPRODUCT(COMPLEX(1,-DB5/$B$120),COMPLEX(1,DB5/$B$119)),IMPRODUCT(COMPLEX(1,DB5/$B$113),COMPLEX(1,DB5/$B$116)))))</f>
        <v>23.930299228513043</v>
      </c>
      <c r="DD5" s="93">
        <f t="shared" ref="DD5:DD14" si="91">IMARGUMENT(IMDIV(IMPRODUCT(COMPLEX(1,-DB5/$B$120),COMPLEX(1,DB5/$B$119)),IMPRODUCT(COMPLEX(1,DB5/$B$113),COMPLEX(1,DB5/$B$116))))*(180/PI())</f>
        <v>-0.10405904587947586</v>
      </c>
      <c r="DE5" s="260">
        <f t="shared" ref="DE5:DE14" si="92">20*LOG($B$124*IMABS(IMDIV(IMPRODUCT(COMPLEX(1,-DB5/$B$121),COMPLEX(1,DB5/$B$119)),IMPRODUCT(COMPLEX(1,DB5/$B$113),COMPLEX(1,DB5/$B$117)))))</f>
        <v>25.513814894209617</v>
      </c>
      <c r="DF5" s="93">
        <f t="shared" ref="DF5:DF14" si="93">IMARGUMENT(IMDIV(IMPRODUCT(COMPLEX(1,-DB5/$B$121),COMPLEX(1,DB5/$B$119)),IMPRODUCT(COMPLEX(1,DB5/$B$113),COMPLEX(1,DB5/$B$117))))*(180/PI())</f>
        <v>-0.1020706943404479</v>
      </c>
      <c r="DG5" s="257">
        <f t="shared" ref="DG5:DG14" si="94">20*LOG($B$125*IMABS(IMDIV(IMPRODUCT(COMPLEX(1,-DB5/$B$122),COMPLEX(1,DB5/$B$119)),IMPRODUCT(COMPLEX(1,DB5/$B$115),COMPLEX(1,DB5/$B$118)))))</f>
        <v>30.706016547436555</v>
      </c>
      <c r="DH5" s="93">
        <f t="shared" ref="DH5:DH14" si="95">IMARGUMENT(IMDIV(IMPRODUCT(COMPLEX(1,-DB5/$B$122),COMPLEX(1,DB5/$B$119)),IMPRODUCT(COMPLEX(1,DB5/$B$115),COMPLEX(1,DB5/$B$118))))*(180/PI())</f>
        <v>-0.12600855047333798</v>
      </c>
      <c r="DI5" s="91">
        <f t="shared" ref="DI5:DI59" si="96">20*LOG($B$135*IMABS(IMDIV(COMPLEX(1,DB5/$B$134),IMPRODUCT(COMPLEX(1,DB5/($B$133)),COMPLEX(0,DB5)))))</f>
        <v>30.053598424390358</v>
      </c>
      <c r="DJ5" s="257">
        <f t="shared" ref="DJ5:DJ59" si="97">IMARGUMENT(IMDIV(COMPLEX(-1,-DB5/$B$134),IMPRODUCT(COMPLEX(1,DB5/($B$133)),COMPLEX(0,DB5))))*(180/PI())</f>
        <v>90.224545175521428</v>
      </c>
      <c r="DK5" s="92">
        <f t="shared" ref="DK5:DK59" si="98">20*LOG(IMABS(IMDIV(COMPLEX(1,$B$129/DB5),COMPLEX(1,DB5/$B$128)))*$B$130)</f>
        <v>30.826756971370134</v>
      </c>
      <c r="DL5" s="93">
        <f t="shared" ref="DL5:DL59" si="99">IMARGUMENT(IMDIV(COMPLEX(-1,-$B$129/-DB5),COMPLEX(1,DB5/$B$128)))*(180/PI())</f>
        <v>90.232846638038481</v>
      </c>
      <c r="DM5" s="260">
        <f t="shared" ref="DM5:DM59" si="100">DC5+DI5</f>
        <v>53.983897652903401</v>
      </c>
      <c r="DN5" s="270">
        <f t="shared" ref="DN5:DN59" si="101">IMARGUMENT(IMPRODUCT(IMDIV(IMPRODUCT(COMPLEX(1,-DB5/$B$120),COMPLEX(1,DB5/$B$119)),IMPRODUCT(COMPLEX(1,DB5/$B$113),COMPLEX(1,DB5/$B$116))),IMDIV(COMPLEX(-1,-DB5/$B$134),IMPRODUCT(COMPLEX(1,DB5/($B$133)),COMPLEX(0,DB5)))))*(180/PI())</f>
        <v>90.120486129641961</v>
      </c>
      <c r="DO5" s="260">
        <f t="shared" ref="DO5:DO59" si="102">DE5+DI5</f>
        <v>55.567413318599975</v>
      </c>
      <c r="DP5" s="267">
        <f t="shared" ref="DP5:DP59" si="103">DF5+DJ5</f>
        <v>90.122474481180973</v>
      </c>
      <c r="DQ5" s="257">
        <f t="shared" ref="DQ5:DQ59" si="104">DG5+DI5</f>
        <v>60.759614971826913</v>
      </c>
      <c r="DR5" s="267">
        <f t="shared" ref="DR5:DR59" si="105">DH5+DJ5</f>
        <v>90.098536625048084</v>
      </c>
      <c r="DS5" s="260">
        <f t="shared" ref="DS5:DS59" si="106">DC5+DK5</f>
        <v>54.757056199883181</v>
      </c>
      <c r="DT5" s="269">
        <f t="shared" ref="DT5:DT59" si="107">IMARGUMENT(IMPRODUCT(IMDIV(IMPRODUCT(COMPLEX(1,-DB5/$B$120),COMPLEX(1,DB5/$B$119)),IMPRODUCT(COMPLEX(1,DB5/$B$113),COMPLEX(1,DB5/$B$116))),IMDIV(COMPLEX(-1,-$B$129/-DB5),COMPLEX(1,DB5/$B$128))))*(180/PI())</f>
        <v>90.128787592159014</v>
      </c>
      <c r="DU5" s="260">
        <f t="shared" ref="DU5:DU59" si="108">DE5+DK5</f>
        <v>56.340571865579747</v>
      </c>
      <c r="DV5" s="93">
        <f t="shared" ref="DV5:DV59" si="109">DF5+DL5</f>
        <v>90.130775943698026</v>
      </c>
      <c r="DW5" s="257">
        <f t="shared" ref="DW5:DW59" si="110">DG5+DK5</f>
        <v>61.532773518806692</v>
      </c>
      <c r="DX5" s="93">
        <f t="shared" ref="DX5:DX59" si="111">DH5+DL5</f>
        <v>90.106838087565137</v>
      </c>
    </row>
    <row r="6" spans="1:128" ht="15.75" thickBot="1" x14ac:dyDescent="0.3">
      <c r="A6" s="12" t="s">
        <v>295</v>
      </c>
      <c r="B6" s="39">
        <f>B5/Fsw</f>
        <v>5.2623217760832443E-7</v>
      </c>
      <c r="C6" s="12" t="s">
        <v>320</v>
      </c>
      <c r="L6" s="58">
        <v>2</v>
      </c>
      <c r="M6" s="62">
        <f t="shared" si="0"/>
        <v>10.56</v>
      </c>
      <c r="N6" s="42">
        <f t="shared" si="1"/>
        <v>6.5566829004207148E-5</v>
      </c>
      <c r="O6" s="19">
        <f t="shared" si="2"/>
        <v>5.9010146103786424E-5</v>
      </c>
      <c r="P6" s="43">
        <f t="shared" si="3"/>
        <v>5.3645587367078565E-5</v>
      </c>
      <c r="Q6" s="60">
        <f t="shared" si="4"/>
        <v>0.46007583438658872</v>
      </c>
      <c r="R6" s="63">
        <f t="shared" si="5"/>
        <v>0.63131313131313127</v>
      </c>
      <c r="S6" s="28">
        <f t="shared" si="6"/>
        <v>1.3721936344577852</v>
      </c>
      <c r="T6" s="12">
        <f t="shared" si="7"/>
        <v>0.19993418975812252</v>
      </c>
      <c r="U6" s="12">
        <f t="shared" si="60"/>
        <v>1.4721607293368464</v>
      </c>
      <c r="V6" s="55">
        <f t="shared" si="8"/>
        <v>1.9037325078738339</v>
      </c>
      <c r="W6" s="54">
        <f t="shared" si="61"/>
        <v>0.93156665739035005</v>
      </c>
      <c r="X6" s="55">
        <f t="shared" si="62"/>
        <v>0.68502566914900276</v>
      </c>
      <c r="Y6" s="54">
        <f t="shared" si="9"/>
        <v>0.68384358509710697</v>
      </c>
      <c r="Z6" s="55">
        <f t="shared" si="63"/>
        <v>0.4665212201802445</v>
      </c>
      <c r="AA6" s="54">
        <f t="shared" si="10"/>
        <v>0.68384358509710697</v>
      </c>
      <c r="AB6" s="55">
        <f t="shared" si="64"/>
        <v>0.4665212201802445</v>
      </c>
      <c r="AC6" s="54">
        <f t="shared" si="11"/>
        <v>0</v>
      </c>
      <c r="AD6" s="55">
        <f t="shared" si="65"/>
        <v>0</v>
      </c>
      <c r="AE6" s="54">
        <f t="shared" si="12"/>
        <v>0</v>
      </c>
      <c r="AF6" s="55">
        <f t="shared" si="66"/>
        <v>0</v>
      </c>
      <c r="AG6" s="54">
        <f t="shared" si="13"/>
        <v>0</v>
      </c>
      <c r="AH6" s="55">
        <f t="shared" si="67"/>
        <v>0</v>
      </c>
      <c r="AI6" s="54">
        <f t="shared" si="68"/>
        <v>0</v>
      </c>
      <c r="AJ6" s="177">
        <f t="shared" si="69"/>
        <v>0</v>
      </c>
      <c r="AK6" s="54">
        <f t="shared" si="14"/>
        <v>0.14011615411193593</v>
      </c>
      <c r="AL6" s="55">
        <f t="shared" si="15"/>
        <v>9.8145487125592165E-2</v>
      </c>
      <c r="AM6" s="179">
        <f t="shared" si="16"/>
        <v>1.7515324865247591E-2</v>
      </c>
      <c r="AN6" s="52">
        <f t="shared" si="17"/>
        <v>0</v>
      </c>
      <c r="AO6" s="74">
        <f t="shared" si="70"/>
        <v>0</v>
      </c>
      <c r="AP6" s="78">
        <v>0</v>
      </c>
      <c r="AQ6" s="87">
        <f t="shared" si="18"/>
        <v>0</v>
      </c>
      <c r="AR6" s="46">
        <f t="shared" si="19"/>
        <v>4.6966800448523802</v>
      </c>
      <c r="AS6" s="69">
        <f t="shared" si="20"/>
        <v>3.5225100336392853E-3</v>
      </c>
      <c r="AT6" s="42">
        <f t="shared" si="21"/>
        <v>6.3152025625043544</v>
      </c>
      <c r="AU6" s="79">
        <f t="shared" si="22"/>
        <v>4.7364019218782659E-3</v>
      </c>
      <c r="AV6" s="83">
        <f t="shared" si="71"/>
        <v>4.286874184440418E-2</v>
      </c>
      <c r="AW6" s="84">
        <f t="shared" si="72"/>
        <v>5.0473658300556251E-2</v>
      </c>
      <c r="AX6" s="42">
        <f t="shared" si="23"/>
        <v>4.1058732612055629E-2</v>
      </c>
      <c r="AY6" s="43">
        <f t="shared" si="73"/>
        <v>3.5744426760163206E-2</v>
      </c>
      <c r="AZ6" s="85">
        <f t="shared" si="24"/>
        <v>4.1058732612055629E-2</v>
      </c>
      <c r="BA6" s="86">
        <f t="shared" si="74"/>
        <v>3.5744426760163206E-2</v>
      </c>
      <c r="BB6" s="85">
        <f t="shared" si="25"/>
        <v>0</v>
      </c>
      <c r="BC6" s="86">
        <f t="shared" si="75"/>
        <v>0</v>
      </c>
      <c r="BD6" s="85">
        <f t="shared" si="26"/>
        <v>0</v>
      </c>
      <c r="BE6" s="86">
        <f t="shared" si="76"/>
        <v>0</v>
      </c>
      <c r="BF6" s="85">
        <f t="shared" si="27"/>
        <v>0</v>
      </c>
      <c r="BG6" s="86">
        <f t="shared" si="77"/>
        <v>0</v>
      </c>
      <c r="BH6" s="85">
        <f t="shared" si="28"/>
        <v>0</v>
      </c>
      <c r="BI6" s="86">
        <f t="shared" si="78"/>
        <v>0</v>
      </c>
      <c r="BJ6" s="85">
        <f t="shared" si="29"/>
        <v>3.1673879443585777E-3</v>
      </c>
      <c r="BK6" s="207">
        <f t="shared" si="30"/>
        <v>3.0509980437009821E-3</v>
      </c>
      <c r="BL6" s="85">
        <f t="shared" si="79"/>
        <v>0.25316710487745758</v>
      </c>
      <c r="BM6" s="176">
        <f t="shared" si="80"/>
        <v>0.25316710487745758</v>
      </c>
      <c r="BN6" s="176">
        <f t="shared" si="81"/>
        <v>0.25316710487745758</v>
      </c>
      <c r="BO6" s="176">
        <f t="shared" si="82"/>
        <v>0.25668961491109688</v>
      </c>
      <c r="BP6" s="86">
        <f t="shared" si="83"/>
        <v>0.25790350679933582</v>
      </c>
      <c r="BQ6" s="211">
        <f t="shared" si="84"/>
        <v>2.7898938883787368E-2</v>
      </c>
      <c r="BR6" s="237">
        <f t="shared" si="31"/>
        <v>2.5000000000000001E-3</v>
      </c>
      <c r="BS6" s="237">
        <f t="shared" si="32"/>
        <v>2.5000000000000001E-3</v>
      </c>
      <c r="BT6" s="237">
        <f t="shared" si="33"/>
        <v>0</v>
      </c>
      <c r="BU6" s="237">
        <f t="shared" si="34"/>
        <v>0</v>
      </c>
      <c r="BV6" s="237">
        <f t="shared" si="35"/>
        <v>0</v>
      </c>
      <c r="BW6" s="237">
        <f t="shared" si="36"/>
        <v>0</v>
      </c>
      <c r="BX6" s="212">
        <f t="shared" si="37"/>
        <v>1.0000000000000002E-4</v>
      </c>
      <c r="BY6" s="238">
        <f t="shared" si="85"/>
        <v>3.2998938883787368E-2</v>
      </c>
      <c r="BZ6" s="244">
        <f t="shared" si="86"/>
        <v>1.9927813488419548E-3</v>
      </c>
      <c r="CA6" s="243">
        <f t="shared" si="38"/>
        <v>6.5206641509433977E-2</v>
      </c>
      <c r="CB6" s="243">
        <f t="shared" si="39"/>
        <v>0.23099999999999998</v>
      </c>
      <c r="CC6" s="238">
        <f t="shared" si="87"/>
        <v>0.29819942285827594</v>
      </c>
      <c r="CD6" s="244">
        <f t="shared" si="40"/>
        <v>0.15</v>
      </c>
      <c r="CE6" s="243">
        <f t="shared" si="41"/>
        <v>3.0000000000000002E-2</v>
      </c>
      <c r="CF6" s="243">
        <f t="shared" si="42"/>
        <v>0.15</v>
      </c>
      <c r="CG6" s="243">
        <f t="shared" si="43"/>
        <v>3.0000000000000002E-2</v>
      </c>
      <c r="CH6" s="243">
        <f t="shared" si="44"/>
        <v>0</v>
      </c>
      <c r="CI6" s="243">
        <f t="shared" si="45"/>
        <v>0</v>
      </c>
      <c r="CJ6" s="243">
        <f t="shared" si="46"/>
        <v>0</v>
      </c>
      <c r="CK6" s="243">
        <f t="shared" si="47"/>
        <v>0</v>
      </c>
      <c r="CL6" s="243">
        <f t="shared" si="48"/>
        <v>0</v>
      </c>
      <c r="CM6" s="243">
        <f t="shared" si="49"/>
        <v>0</v>
      </c>
      <c r="CN6" s="243">
        <f t="shared" si="50"/>
        <v>0</v>
      </c>
      <c r="CO6" s="243">
        <f t="shared" si="51"/>
        <v>0</v>
      </c>
      <c r="CP6" s="243">
        <f t="shared" si="52"/>
        <v>0.03</v>
      </c>
      <c r="CQ6" s="243">
        <f t="shared" si="53"/>
        <v>6.0000000000000005E-2</v>
      </c>
      <c r="CR6" s="238">
        <f t="shared" si="54"/>
        <v>0.39</v>
      </c>
      <c r="CS6" s="246">
        <f t="shared" si="55"/>
        <v>0.29690830454200751</v>
      </c>
      <c r="CT6" s="188">
        <f t="shared" si="88"/>
        <v>1.0181066662840708</v>
      </c>
      <c r="CU6" s="206">
        <f t="shared" si="56"/>
        <v>7.018106666284071</v>
      </c>
      <c r="CV6" s="227">
        <f t="shared" si="57"/>
        <v>0.8549314345455602</v>
      </c>
      <c r="CW6">
        <f t="shared" si="58"/>
        <v>19.048964346349749</v>
      </c>
      <c r="CX6">
        <f t="shared" si="59"/>
        <v>84.885993638406887</v>
      </c>
      <c r="DA6" s="22">
        <v>3</v>
      </c>
      <c r="DB6" s="22">
        <f t="shared" si="89"/>
        <v>18.849555921538759</v>
      </c>
      <c r="DC6" s="260">
        <f t="shared" si="90"/>
        <v>23.930283986899425</v>
      </c>
      <c r="DD6" s="93">
        <f t="shared" si="91"/>
        <v>-0.15608840033743632</v>
      </c>
      <c r="DE6" s="260">
        <f t="shared" si="92"/>
        <v>25.513799644670119</v>
      </c>
      <c r="DF6" s="93">
        <f t="shared" si="93"/>
        <v>-0.15310587304283516</v>
      </c>
      <c r="DG6" s="257">
        <f t="shared" si="94"/>
        <v>30.705990968034072</v>
      </c>
      <c r="DH6" s="93">
        <f t="shared" si="95"/>
        <v>-0.18901245949199519</v>
      </c>
      <c r="DI6" s="91">
        <f t="shared" si="96"/>
        <v>26.531860166012521</v>
      </c>
      <c r="DJ6" s="257">
        <f t="shared" si="97"/>
        <v>90.336815467434477</v>
      </c>
      <c r="DK6" s="92">
        <f t="shared" si="98"/>
        <v>27.305025106240176</v>
      </c>
      <c r="DL6" s="93">
        <f t="shared" si="99"/>
        <v>90.349267403439185</v>
      </c>
      <c r="DM6" s="260">
        <f t="shared" si="100"/>
        <v>50.462144152911947</v>
      </c>
      <c r="DN6" s="270">
        <f t="shared" si="101"/>
        <v>90.180727067097052</v>
      </c>
      <c r="DO6" s="260">
        <f t="shared" si="102"/>
        <v>52.045659810682636</v>
      </c>
      <c r="DP6" s="267">
        <f t="shared" si="103"/>
        <v>90.183709594391644</v>
      </c>
      <c r="DQ6" s="257">
        <f t="shared" si="104"/>
        <v>57.237851134046593</v>
      </c>
      <c r="DR6" s="267">
        <f t="shared" si="105"/>
        <v>90.147803007942485</v>
      </c>
      <c r="DS6" s="260">
        <f t="shared" si="106"/>
        <v>51.235309093139605</v>
      </c>
      <c r="DT6" s="269">
        <f t="shared" si="107"/>
        <v>90.193179003101747</v>
      </c>
      <c r="DU6" s="260">
        <f t="shared" si="108"/>
        <v>52.818824750910295</v>
      </c>
      <c r="DV6" s="93">
        <f t="shared" si="109"/>
        <v>90.196161530396353</v>
      </c>
      <c r="DW6" s="257">
        <f t="shared" si="110"/>
        <v>58.011016074274252</v>
      </c>
      <c r="DX6" s="93">
        <f t="shared" si="111"/>
        <v>90.160254943947194</v>
      </c>
    </row>
    <row r="7" spans="1:128" ht="15.75" thickBot="1" x14ac:dyDescent="0.3">
      <c r="A7" s="12" t="s">
        <v>293</v>
      </c>
      <c r="B7" s="8">
        <f>IF(AND(Vout1&lt;&gt;0,IoutPri_FBB=0),(Np*(ABS(Vout1)+Vdiode1))/((Ns1_Flyback*VinMin)+(Np*(ABS(Vout1)+Vdiode1))),0)</f>
        <v>0.49995283463824169</v>
      </c>
      <c r="C7" s="12"/>
      <c r="L7" s="58">
        <v>3</v>
      </c>
      <c r="M7" s="62">
        <f t="shared" si="0"/>
        <v>11.34</v>
      </c>
      <c r="N7" s="42">
        <f t="shared" si="1"/>
        <v>6.9922245277244505E-5</v>
      </c>
      <c r="O7" s="19">
        <f t="shared" si="2"/>
        <v>6.2930020749520045E-5</v>
      </c>
      <c r="P7" s="43">
        <f t="shared" si="3"/>
        <v>5.7209109772290955E-5</v>
      </c>
      <c r="Q7" s="60">
        <f t="shared" si="4"/>
        <v>0.44243133549150782</v>
      </c>
      <c r="R7" s="63">
        <f t="shared" si="5"/>
        <v>0.58788947677836567</v>
      </c>
      <c r="S7" s="28">
        <f t="shared" si="6"/>
        <v>1.3287699799230197</v>
      </c>
      <c r="T7" s="12">
        <f t="shared" si="7"/>
        <v>0.20646795656270367</v>
      </c>
      <c r="U7" s="12">
        <f t="shared" si="60"/>
        <v>1.4320039582043715</v>
      </c>
      <c r="V7" s="55">
        <f t="shared" si="8"/>
        <v>1.8425591108412893</v>
      </c>
      <c r="W7" s="54">
        <f t="shared" si="61"/>
        <v>0.88472684447562178</v>
      </c>
      <c r="X7" s="55">
        <f t="shared" si="62"/>
        <v>0.66115622392067863</v>
      </c>
      <c r="Y7" s="54">
        <f t="shared" si="9"/>
        <v>0.67339188503662872</v>
      </c>
      <c r="Z7" s="55">
        <f t="shared" si="63"/>
        <v>0.45106167076485698</v>
      </c>
      <c r="AA7" s="54">
        <f t="shared" si="10"/>
        <v>0.67339188503662872</v>
      </c>
      <c r="AB7" s="55">
        <f t="shared" si="64"/>
        <v>0.45106167076485698</v>
      </c>
      <c r="AC7" s="54">
        <f t="shared" si="11"/>
        <v>0</v>
      </c>
      <c r="AD7" s="55">
        <f t="shared" si="65"/>
        <v>0</v>
      </c>
      <c r="AE7" s="54">
        <f t="shared" si="12"/>
        <v>0</v>
      </c>
      <c r="AF7" s="55">
        <f t="shared" si="66"/>
        <v>0</v>
      </c>
      <c r="AG7" s="54">
        <f t="shared" si="13"/>
        <v>0</v>
      </c>
      <c r="AH7" s="55">
        <f t="shared" si="67"/>
        <v>0</v>
      </c>
      <c r="AI7" s="54">
        <f t="shared" si="68"/>
        <v>0</v>
      </c>
      <c r="AJ7" s="177">
        <f t="shared" si="69"/>
        <v>0</v>
      </c>
      <c r="AK7" s="54">
        <f t="shared" si="14"/>
        <v>0.13841600150758532</v>
      </c>
      <c r="AL7" s="55">
        <f t="shared" si="15"/>
        <v>9.5702609543041509E-2</v>
      </c>
      <c r="AM7" s="179">
        <f t="shared" si="16"/>
        <v>1.8087718452929911E-2</v>
      </c>
      <c r="AN7" s="52">
        <f t="shared" si="17"/>
        <v>0</v>
      </c>
      <c r="AO7" s="74">
        <f t="shared" si="70"/>
        <v>0</v>
      </c>
      <c r="AP7" s="78">
        <v>0</v>
      </c>
      <c r="AQ7" s="87">
        <f t="shared" si="18"/>
        <v>0</v>
      </c>
      <c r="AR7" s="46">
        <f t="shared" si="19"/>
        <v>5.1161050286599972</v>
      </c>
      <c r="AS7" s="69">
        <f t="shared" si="20"/>
        <v>3.8370787714949975E-3</v>
      </c>
      <c r="AT7" s="42">
        <f t="shared" si="21"/>
        <v>6.8350649038527838</v>
      </c>
      <c r="AU7" s="79">
        <f t="shared" si="22"/>
        <v>5.1262986778895878E-3</v>
      </c>
      <c r="AV7" s="83">
        <f t="shared" si="71"/>
        <v>3.717427136340707E-2</v>
      </c>
      <c r="AW7" s="84">
        <f t="shared" si="72"/>
        <v>4.701747185923557E-2</v>
      </c>
      <c r="AX7" s="42">
        <f t="shared" si="23"/>
        <v>4.1058732612055629E-2</v>
      </c>
      <c r="AY7" s="43">
        <f t="shared" si="73"/>
        <v>3.3414685614117701E-2</v>
      </c>
      <c r="AZ7" s="85">
        <f t="shared" si="24"/>
        <v>4.1058732612055629E-2</v>
      </c>
      <c r="BA7" s="86">
        <f t="shared" si="74"/>
        <v>3.3414685614117701E-2</v>
      </c>
      <c r="BB7" s="85">
        <f t="shared" si="25"/>
        <v>0</v>
      </c>
      <c r="BC7" s="86">
        <f t="shared" si="75"/>
        <v>0</v>
      </c>
      <c r="BD7" s="85">
        <f t="shared" si="26"/>
        <v>0</v>
      </c>
      <c r="BE7" s="86">
        <f t="shared" si="76"/>
        <v>0</v>
      </c>
      <c r="BF7" s="85">
        <f t="shared" si="27"/>
        <v>0</v>
      </c>
      <c r="BG7" s="86">
        <f t="shared" si="77"/>
        <v>0</v>
      </c>
      <c r="BH7" s="85">
        <f t="shared" si="28"/>
        <v>0</v>
      </c>
      <c r="BI7" s="86">
        <f t="shared" si="78"/>
        <v>0</v>
      </c>
      <c r="BJ7" s="85">
        <f t="shared" si="29"/>
        <v>3.1673879443585777E-3</v>
      </c>
      <c r="BK7" s="207">
        <f t="shared" si="30"/>
        <v>2.9010072840389128E-3</v>
      </c>
      <c r="BL7" s="85">
        <f t="shared" si="79"/>
        <v>0.2392069749033868</v>
      </c>
      <c r="BM7" s="176">
        <f t="shared" si="80"/>
        <v>0.2392069749033868</v>
      </c>
      <c r="BN7" s="176">
        <f t="shared" si="81"/>
        <v>0.2392069749033868</v>
      </c>
      <c r="BO7" s="176">
        <f t="shared" si="82"/>
        <v>0.2430440536748818</v>
      </c>
      <c r="BP7" s="86">
        <f t="shared" si="83"/>
        <v>0.24433327358127638</v>
      </c>
      <c r="BQ7" s="211">
        <f t="shared" si="84"/>
        <v>2.4192982583471839E-2</v>
      </c>
      <c r="BR7" s="237">
        <f t="shared" si="31"/>
        <v>2.5000000000000001E-3</v>
      </c>
      <c r="BS7" s="237">
        <f t="shared" si="32"/>
        <v>2.5000000000000001E-3</v>
      </c>
      <c r="BT7" s="237">
        <f t="shared" si="33"/>
        <v>0</v>
      </c>
      <c r="BU7" s="237">
        <f t="shared" si="34"/>
        <v>0</v>
      </c>
      <c r="BV7" s="237">
        <f t="shared" si="35"/>
        <v>0</v>
      </c>
      <c r="BW7" s="237">
        <f t="shared" si="36"/>
        <v>0</v>
      </c>
      <c r="BX7" s="212">
        <f t="shared" si="37"/>
        <v>1.0000000000000002E-4</v>
      </c>
      <c r="BY7" s="238">
        <f t="shared" si="85"/>
        <v>2.9292982583471835E-2</v>
      </c>
      <c r="BZ7" s="244">
        <f t="shared" si="86"/>
        <v>1.7280701845337027E-3</v>
      </c>
      <c r="CA7" s="243">
        <f t="shared" si="38"/>
        <v>6.7807132075471704E-2</v>
      </c>
      <c r="CB7" s="243">
        <f t="shared" si="39"/>
        <v>0.23099999999999998</v>
      </c>
      <c r="CC7" s="238">
        <f t="shared" si="87"/>
        <v>0.30053520226000541</v>
      </c>
      <c r="CD7" s="244">
        <f t="shared" si="40"/>
        <v>0.15</v>
      </c>
      <c r="CE7" s="243">
        <f t="shared" si="41"/>
        <v>3.0000000000000002E-2</v>
      </c>
      <c r="CF7" s="243">
        <f t="shared" si="42"/>
        <v>0.15</v>
      </c>
      <c r="CG7" s="243">
        <f t="shared" si="43"/>
        <v>3.0000000000000002E-2</v>
      </c>
      <c r="CH7" s="243">
        <f t="shared" si="44"/>
        <v>0</v>
      </c>
      <c r="CI7" s="243">
        <f t="shared" si="45"/>
        <v>0</v>
      </c>
      <c r="CJ7" s="243">
        <f t="shared" si="46"/>
        <v>0</v>
      </c>
      <c r="CK7" s="243">
        <f t="shared" si="47"/>
        <v>0</v>
      </c>
      <c r="CL7" s="243">
        <f t="shared" si="48"/>
        <v>0</v>
      </c>
      <c r="CM7" s="243">
        <f t="shared" si="49"/>
        <v>0</v>
      </c>
      <c r="CN7" s="243">
        <f t="shared" si="50"/>
        <v>0</v>
      </c>
      <c r="CO7" s="243">
        <f t="shared" si="51"/>
        <v>0</v>
      </c>
      <c r="CP7" s="243">
        <f t="shared" si="52"/>
        <v>0.03</v>
      </c>
      <c r="CQ7" s="243">
        <f t="shared" si="53"/>
        <v>6.0000000000000005E-2</v>
      </c>
      <c r="CR7" s="238">
        <f t="shared" si="54"/>
        <v>0.39</v>
      </c>
      <c r="CS7" s="246">
        <f t="shared" si="55"/>
        <v>0.2807173449672612</v>
      </c>
      <c r="CT7" s="188">
        <f t="shared" si="88"/>
        <v>1.0005455298107386</v>
      </c>
      <c r="CU7" s="206">
        <f t="shared" si="56"/>
        <v>7.0005455298107382</v>
      </c>
      <c r="CV7" s="227">
        <f t="shared" si="57"/>
        <v>0.85707606277966908</v>
      </c>
      <c r="CW7">
        <f t="shared" si="58"/>
        <v>19.828964346349746</v>
      </c>
      <c r="CX7">
        <f t="shared" si="59"/>
        <v>83.870128238224595</v>
      </c>
      <c r="DA7" s="22">
        <v>4</v>
      </c>
      <c r="DB7" s="22">
        <f t="shared" si="89"/>
        <v>25.132741228718345</v>
      </c>
      <c r="DC7" s="260">
        <f t="shared" si="90"/>
        <v>23.930262648730178</v>
      </c>
      <c r="DD7" s="93">
        <f t="shared" si="91"/>
        <v>-0.20811755261885395</v>
      </c>
      <c r="DE7" s="260">
        <f t="shared" si="92"/>
        <v>25.513778295404656</v>
      </c>
      <c r="DF7" s="93">
        <f t="shared" si="93"/>
        <v>-0.20414084958540735</v>
      </c>
      <c r="DG7" s="257">
        <f t="shared" si="94"/>
        <v>30.705955157123562</v>
      </c>
      <c r="DH7" s="93">
        <f t="shared" si="95"/>
        <v>-0.25201592905483633</v>
      </c>
      <c r="DI7" s="91">
        <f t="shared" si="96"/>
        <v>24.033207122751445</v>
      </c>
      <c r="DJ7" s="257">
        <f t="shared" si="97"/>
        <v>90.449083004453897</v>
      </c>
      <c r="DK7" s="92">
        <f t="shared" si="98"/>
        <v>24.806381013080316</v>
      </c>
      <c r="DL7" s="93">
        <f t="shared" si="99"/>
        <v>90.465685104645175</v>
      </c>
      <c r="DM7" s="260">
        <f t="shared" si="100"/>
        <v>47.963469771481627</v>
      </c>
      <c r="DN7" s="270">
        <f t="shared" si="101"/>
        <v>90.240965451835038</v>
      </c>
      <c r="DO7" s="260">
        <f t="shared" si="102"/>
        <v>49.546985418156098</v>
      </c>
      <c r="DP7" s="267">
        <f t="shared" si="103"/>
        <v>90.244942154868482</v>
      </c>
      <c r="DQ7" s="257">
        <f t="shared" si="104"/>
        <v>54.739162279875003</v>
      </c>
      <c r="DR7" s="267">
        <f t="shared" si="105"/>
        <v>90.197067075399062</v>
      </c>
      <c r="DS7" s="260">
        <f t="shared" si="106"/>
        <v>48.73664366181049</v>
      </c>
      <c r="DT7" s="269">
        <f t="shared" si="107"/>
        <v>90.25756755202633</v>
      </c>
      <c r="DU7" s="260">
        <f t="shared" si="108"/>
        <v>50.320159308484975</v>
      </c>
      <c r="DV7" s="93">
        <f t="shared" si="109"/>
        <v>90.261544255059761</v>
      </c>
      <c r="DW7" s="257">
        <f t="shared" si="110"/>
        <v>55.512336170203881</v>
      </c>
      <c r="DX7" s="93">
        <f t="shared" si="111"/>
        <v>90.21366917559034</v>
      </c>
    </row>
    <row r="8" spans="1:128" ht="15.75" thickBot="1" x14ac:dyDescent="0.3">
      <c r="A8" s="12" t="s">
        <v>294</v>
      </c>
      <c r="B8" s="39">
        <f>B7/Fsw</f>
        <v>1.6665094487941389E-6</v>
      </c>
      <c r="C8" s="12" t="s">
        <v>320</v>
      </c>
      <c r="E8" t="s">
        <v>361</v>
      </c>
      <c r="L8" s="58">
        <v>4</v>
      </c>
      <c r="M8" s="62">
        <f t="shared" si="0"/>
        <v>12.120000000000001</v>
      </c>
      <c r="N8" s="42">
        <f t="shared" si="1"/>
        <v>7.408083821105125E-5</v>
      </c>
      <c r="O8" s="19">
        <f t="shared" si="2"/>
        <v>6.6672754389946143E-5</v>
      </c>
      <c r="P8" s="43">
        <f t="shared" si="3"/>
        <v>6.061159489995103E-5</v>
      </c>
      <c r="Q8" s="60">
        <f t="shared" si="4"/>
        <v>0.42609022822357356</v>
      </c>
      <c r="R8" s="63">
        <f t="shared" si="5"/>
        <v>0.55005500550054998</v>
      </c>
      <c r="S8" s="28">
        <f t="shared" si="6"/>
        <v>1.2909355086452039</v>
      </c>
      <c r="T8" s="12">
        <f t="shared" si="7"/>
        <v>0.21251907679299228</v>
      </c>
      <c r="U8" s="12">
        <f t="shared" si="60"/>
        <v>1.3971950470417001</v>
      </c>
      <c r="V8" s="55">
        <f t="shared" si="8"/>
        <v>1.7888840602813081</v>
      </c>
      <c r="W8" s="54">
        <f t="shared" si="61"/>
        <v>0.84361674509778184</v>
      </c>
      <c r="X8" s="55">
        <f t="shared" si="62"/>
        <v>0.63963169365906636</v>
      </c>
      <c r="Y8" s="54">
        <f t="shared" si="9"/>
        <v>0.66419116063613637</v>
      </c>
      <c r="Z8" s="55">
        <f t="shared" si="63"/>
        <v>0.43720692797253097</v>
      </c>
      <c r="AA8" s="54">
        <f t="shared" si="10"/>
        <v>0.66419116063613637</v>
      </c>
      <c r="AB8" s="55">
        <f t="shared" si="64"/>
        <v>0.43720692797253097</v>
      </c>
      <c r="AC8" s="54">
        <f t="shared" si="11"/>
        <v>0</v>
      </c>
      <c r="AD8" s="55">
        <f t="shared" si="65"/>
        <v>0</v>
      </c>
      <c r="AE8" s="54">
        <f t="shared" si="12"/>
        <v>0</v>
      </c>
      <c r="AF8" s="55">
        <f t="shared" si="66"/>
        <v>0</v>
      </c>
      <c r="AG8" s="54">
        <f t="shared" si="13"/>
        <v>0</v>
      </c>
      <c r="AH8" s="55">
        <f t="shared" si="67"/>
        <v>0</v>
      </c>
      <c r="AI8" s="54">
        <f t="shared" si="68"/>
        <v>0</v>
      </c>
      <c r="AJ8" s="177">
        <f t="shared" si="69"/>
        <v>0</v>
      </c>
      <c r="AK8" s="54">
        <f t="shared" si="14"/>
        <v>0.13696394277052792</v>
      </c>
      <c r="AL8" s="55">
        <f t="shared" si="15"/>
        <v>9.359017907477496E-2</v>
      </c>
      <c r="AM8" s="179">
        <f t="shared" si="16"/>
        <v>1.8617829569794912E-2</v>
      </c>
      <c r="AN8" s="52">
        <f t="shared" si="17"/>
        <v>0</v>
      </c>
      <c r="AO8" s="74">
        <f t="shared" si="70"/>
        <v>0</v>
      </c>
      <c r="AP8" s="78">
        <v>0</v>
      </c>
      <c r="AQ8" s="87">
        <f t="shared" si="18"/>
        <v>0</v>
      </c>
      <c r="AR8" s="46">
        <f t="shared" si="19"/>
        <v>5.5247145770685515</v>
      </c>
      <c r="AS8" s="69">
        <f t="shared" si="20"/>
        <v>4.1435359328014136E-3</v>
      </c>
      <c r="AT8" s="42">
        <f t="shared" si="21"/>
        <v>7.3384440111010383</v>
      </c>
      <c r="AU8" s="79">
        <f t="shared" si="22"/>
        <v>5.5038330083257781E-3</v>
      </c>
      <c r="AV8" s="83">
        <f t="shared" si="71"/>
        <v>3.2543430726699928E-2</v>
      </c>
      <c r="AW8" s="84">
        <f t="shared" si="72"/>
        <v>4.400591360183901E-2</v>
      </c>
      <c r="AX8" s="42">
        <f t="shared" si="23"/>
        <v>4.1058732612055629E-2</v>
      </c>
      <c r="AY8" s="43">
        <f t="shared" si="73"/>
        <v>3.1393490181400793E-2</v>
      </c>
      <c r="AZ8" s="85">
        <f t="shared" si="24"/>
        <v>4.1058732612055629E-2</v>
      </c>
      <c r="BA8" s="86">
        <f t="shared" si="74"/>
        <v>3.1393490181400793E-2</v>
      </c>
      <c r="BB8" s="85">
        <f t="shared" si="25"/>
        <v>0</v>
      </c>
      <c r="BC8" s="86">
        <f t="shared" si="75"/>
        <v>0</v>
      </c>
      <c r="BD8" s="85">
        <f t="shared" si="26"/>
        <v>0</v>
      </c>
      <c r="BE8" s="86">
        <f t="shared" si="76"/>
        <v>0</v>
      </c>
      <c r="BF8" s="85">
        <f t="shared" si="27"/>
        <v>0</v>
      </c>
      <c r="BG8" s="86">
        <f t="shared" si="77"/>
        <v>0</v>
      </c>
      <c r="BH8" s="85">
        <f t="shared" si="28"/>
        <v>0</v>
      </c>
      <c r="BI8" s="86">
        <f t="shared" si="78"/>
        <v>0</v>
      </c>
      <c r="BJ8" s="85">
        <f t="shared" si="29"/>
        <v>3.1673879443585777E-3</v>
      </c>
      <c r="BK8" s="207">
        <f t="shared" si="30"/>
        <v>2.7743536219978103E-3</v>
      </c>
      <c r="BL8" s="85">
        <f t="shared" si="79"/>
        <v>0.22739553148180819</v>
      </c>
      <c r="BM8" s="176">
        <f t="shared" si="80"/>
        <v>0.22739553148180819</v>
      </c>
      <c r="BN8" s="176">
        <f t="shared" si="81"/>
        <v>0.22739553148180819</v>
      </c>
      <c r="BO8" s="176">
        <f t="shared" si="82"/>
        <v>0.23153906741460961</v>
      </c>
      <c r="BP8" s="86">
        <f t="shared" si="83"/>
        <v>0.23289936449013396</v>
      </c>
      <c r="BQ8" s="211">
        <f t="shared" si="84"/>
        <v>2.1179235635334706E-2</v>
      </c>
      <c r="BR8" s="237">
        <f t="shared" si="31"/>
        <v>2.5000000000000001E-3</v>
      </c>
      <c r="BS8" s="237">
        <f t="shared" si="32"/>
        <v>2.5000000000000001E-3</v>
      </c>
      <c r="BT8" s="237">
        <f t="shared" si="33"/>
        <v>0</v>
      </c>
      <c r="BU8" s="237">
        <f t="shared" si="34"/>
        <v>0</v>
      </c>
      <c r="BV8" s="237">
        <f t="shared" si="35"/>
        <v>0</v>
      </c>
      <c r="BW8" s="237">
        <f t="shared" si="36"/>
        <v>0</v>
      </c>
      <c r="BX8" s="212">
        <f t="shared" si="37"/>
        <v>1.0000000000000002E-4</v>
      </c>
      <c r="BY8" s="238">
        <f t="shared" si="85"/>
        <v>2.6279235635334703E-2</v>
      </c>
      <c r="BZ8" s="244">
        <f t="shared" si="86"/>
        <v>1.5128025453810504E-3</v>
      </c>
      <c r="CA8" s="243">
        <f t="shared" si="38"/>
        <v>7.0407622641509432E-2</v>
      </c>
      <c r="CB8" s="243">
        <f t="shared" si="39"/>
        <v>0.23099999999999998</v>
      </c>
      <c r="CC8" s="238">
        <f t="shared" si="87"/>
        <v>0.30292042518689044</v>
      </c>
      <c r="CD8" s="244">
        <f t="shared" si="40"/>
        <v>0.15</v>
      </c>
      <c r="CE8" s="243">
        <f t="shared" si="41"/>
        <v>3.0000000000000002E-2</v>
      </c>
      <c r="CF8" s="243">
        <f t="shared" si="42"/>
        <v>0.15</v>
      </c>
      <c r="CG8" s="243">
        <f t="shared" si="43"/>
        <v>3.0000000000000002E-2</v>
      </c>
      <c r="CH8" s="243">
        <f t="shared" si="44"/>
        <v>0</v>
      </c>
      <c r="CI8" s="243">
        <f t="shared" si="45"/>
        <v>0</v>
      </c>
      <c r="CJ8" s="243">
        <f t="shared" si="46"/>
        <v>0</v>
      </c>
      <c r="CK8" s="243">
        <f t="shared" si="47"/>
        <v>0</v>
      </c>
      <c r="CL8" s="243">
        <f t="shared" si="48"/>
        <v>0</v>
      </c>
      <c r="CM8" s="243">
        <f t="shared" si="49"/>
        <v>0</v>
      </c>
      <c r="CN8" s="243">
        <f t="shared" si="50"/>
        <v>0</v>
      </c>
      <c r="CO8" s="243">
        <f t="shared" si="51"/>
        <v>0</v>
      </c>
      <c r="CP8" s="243">
        <f t="shared" si="52"/>
        <v>0.03</v>
      </c>
      <c r="CQ8" s="243">
        <f t="shared" si="53"/>
        <v>6.0000000000000005E-2</v>
      </c>
      <c r="CR8" s="238">
        <f t="shared" si="54"/>
        <v>0.39</v>
      </c>
      <c r="CS8" s="246">
        <f t="shared" si="55"/>
        <v>0.26702885307173951</v>
      </c>
      <c r="CT8" s="188">
        <f t="shared" si="88"/>
        <v>0.9862285138939646</v>
      </c>
      <c r="CU8" s="206">
        <f t="shared" si="56"/>
        <v>6.9862285138939644</v>
      </c>
      <c r="CV8" s="227">
        <f t="shared" si="57"/>
        <v>0.85883248566338932</v>
      </c>
      <c r="CW8">
        <f t="shared" si="58"/>
        <v>20.608964346349747</v>
      </c>
      <c r="CX8">
        <f t="shared" si="59"/>
        <v>83.093426406574892</v>
      </c>
      <c r="DA8" s="22">
        <v>5</v>
      </c>
      <c r="DB8" s="22">
        <f t="shared" si="89"/>
        <v>31.415926535897931</v>
      </c>
      <c r="DC8" s="260">
        <f t="shared" si="90"/>
        <v>23.930235214095163</v>
      </c>
      <c r="DD8" s="93">
        <f t="shared" si="91"/>
        <v>-0.26014643533419529</v>
      </c>
      <c r="DE8" s="260">
        <f t="shared" si="92"/>
        <v>25.513750846503175</v>
      </c>
      <c r="DF8" s="93">
        <f t="shared" si="93"/>
        <v>-0.25517555658420804</v>
      </c>
      <c r="DG8" s="257">
        <f t="shared" si="94"/>
        <v>30.705909114958267</v>
      </c>
      <c r="DH8" s="93">
        <f t="shared" si="95"/>
        <v>-0.31501881268624932</v>
      </c>
      <c r="DI8" s="91">
        <f t="shared" si="96"/>
        <v>22.095163314739402</v>
      </c>
      <c r="DJ8" s="257">
        <f t="shared" si="97"/>
        <v>90.561346868487746</v>
      </c>
      <c r="DK8" s="92">
        <f t="shared" si="98"/>
        <v>22.868348711576875</v>
      </c>
      <c r="DL8" s="93">
        <f t="shared" si="99"/>
        <v>90.582098720504106</v>
      </c>
      <c r="DM8" s="260">
        <f t="shared" si="100"/>
        <v>46.025398528834565</v>
      </c>
      <c r="DN8" s="270">
        <f t="shared" si="101"/>
        <v>90.301200433153539</v>
      </c>
      <c r="DO8" s="260">
        <f t="shared" si="102"/>
        <v>47.608914161242581</v>
      </c>
      <c r="DP8" s="267">
        <f t="shared" si="103"/>
        <v>90.30617131190354</v>
      </c>
      <c r="DQ8" s="257">
        <f t="shared" si="104"/>
        <v>52.801072429697669</v>
      </c>
      <c r="DR8" s="267">
        <f t="shared" si="105"/>
        <v>90.246328055801499</v>
      </c>
      <c r="DS8" s="260">
        <f t="shared" si="106"/>
        <v>46.798583925672034</v>
      </c>
      <c r="DT8" s="269">
        <f t="shared" si="107"/>
        <v>90.321952285169914</v>
      </c>
      <c r="DU8" s="260">
        <f t="shared" si="108"/>
        <v>48.38209955808005</v>
      </c>
      <c r="DV8" s="93">
        <f t="shared" si="109"/>
        <v>90.326923163919901</v>
      </c>
      <c r="DW8" s="257">
        <f t="shared" si="110"/>
        <v>53.574257826535145</v>
      </c>
      <c r="DX8" s="93">
        <f t="shared" si="111"/>
        <v>90.267079907817859</v>
      </c>
    </row>
    <row r="9" spans="1:128" ht="15.75" thickBot="1" x14ac:dyDescent="0.3">
      <c r="A9" s="310" t="s">
        <v>290</v>
      </c>
      <c r="B9" s="310"/>
      <c r="C9" s="12"/>
      <c r="L9" s="58">
        <v>5</v>
      </c>
      <c r="M9" s="62">
        <f t="shared" si="0"/>
        <v>12.9</v>
      </c>
      <c r="N9" s="42">
        <f t="shared" si="1"/>
        <v>7.8050767783627677E-5</v>
      </c>
      <c r="O9" s="19">
        <f t="shared" si="2"/>
        <v>7.0245691005264919E-5</v>
      </c>
      <c r="P9" s="43">
        <f t="shared" si="3"/>
        <v>6.385971909569537E-5</v>
      </c>
      <c r="Q9" s="60">
        <f t="shared" si="4"/>
        <v>0.41091323528271606</v>
      </c>
      <c r="R9" s="63">
        <f t="shared" si="5"/>
        <v>0.51679586563307489</v>
      </c>
      <c r="S9" s="28">
        <f t="shared" si="6"/>
        <v>1.257676368777729</v>
      </c>
      <c r="T9" s="12">
        <f t="shared" si="7"/>
        <v>0.21813912490317028</v>
      </c>
      <c r="U9" s="12">
        <f t="shared" si="60"/>
        <v>1.3667459312293142</v>
      </c>
      <c r="V9" s="55">
        <f t="shared" si="8"/>
        <v>1.7413849154906829</v>
      </c>
      <c r="W9" s="54">
        <f t="shared" si="61"/>
        <v>0.80721210276353972</v>
      </c>
      <c r="X9" s="55">
        <f t="shared" si="62"/>
        <v>0.62009145463592397</v>
      </c>
      <c r="Y9" s="54">
        <f t="shared" si="9"/>
        <v>0.65603232066944572</v>
      </c>
      <c r="Z9" s="55">
        <f t="shared" si="63"/>
        <v>0.42470979004837933</v>
      </c>
      <c r="AA9" s="54">
        <f t="shared" si="10"/>
        <v>0.65603232066944572</v>
      </c>
      <c r="AB9" s="55">
        <f t="shared" si="64"/>
        <v>0.42470979004837933</v>
      </c>
      <c r="AC9" s="54">
        <f t="shared" si="11"/>
        <v>0</v>
      </c>
      <c r="AD9" s="55">
        <f t="shared" si="65"/>
        <v>0</v>
      </c>
      <c r="AE9" s="54">
        <f t="shared" si="12"/>
        <v>0</v>
      </c>
      <c r="AF9" s="55">
        <f t="shared" si="66"/>
        <v>0</v>
      </c>
      <c r="AG9" s="54">
        <f t="shared" si="13"/>
        <v>0</v>
      </c>
      <c r="AH9" s="55">
        <f t="shared" si="67"/>
        <v>0</v>
      </c>
      <c r="AI9" s="54">
        <f t="shared" si="68"/>
        <v>0</v>
      </c>
      <c r="AJ9" s="177">
        <f t="shared" si="69"/>
        <v>0</v>
      </c>
      <c r="AK9" s="54">
        <f t="shared" si="14"/>
        <v>0.13571634901474877</v>
      </c>
      <c r="AL9" s="55">
        <f t="shared" si="15"/>
        <v>9.1754713175362809E-2</v>
      </c>
      <c r="AM9" s="179">
        <f t="shared" si="16"/>
        <v>1.911017641916157E-2</v>
      </c>
      <c r="AN9" s="52">
        <f t="shared" si="17"/>
        <v>0</v>
      </c>
      <c r="AO9" s="74">
        <f t="shared" si="70"/>
        <v>0</v>
      </c>
      <c r="AP9" s="78">
        <v>0</v>
      </c>
      <c r="AQ9" s="87">
        <f t="shared" si="18"/>
        <v>0</v>
      </c>
      <c r="AR9" s="46">
        <f t="shared" si="19"/>
        <v>5.921921746580697</v>
      </c>
      <c r="AS9" s="69">
        <f t="shared" si="20"/>
        <v>4.4414413099355225E-3</v>
      </c>
      <c r="AT9" s="42">
        <f t="shared" si="21"/>
        <v>7.8250959978870887</v>
      </c>
      <c r="AU9" s="79">
        <f t="shared" si="22"/>
        <v>5.8688219984153163E-3</v>
      </c>
      <c r="AV9" s="83">
        <f t="shared" si="71"/>
        <v>2.8726925849048436E-2</v>
      </c>
      <c r="AW9" s="84">
        <f t="shared" si="72"/>
        <v>4.1358291036647218E-2</v>
      </c>
      <c r="AX9" s="42">
        <f t="shared" si="23"/>
        <v>4.1058732612055629E-2</v>
      </c>
      <c r="AY9" s="43">
        <f t="shared" si="73"/>
        <v>2.9624434924837455E-2</v>
      </c>
      <c r="AZ9" s="85">
        <f t="shared" si="24"/>
        <v>4.1058732612055629E-2</v>
      </c>
      <c r="BA9" s="86">
        <f t="shared" si="74"/>
        <v>2.9624434924837455E-2</v>
      </c>
      <c r="BB9" s="85">
        <f t="shared" si="25"/>
        <v>0</v>
      </c>
      <c r="BC9" s="86">
        <f t="shared" si="75"/>
        <v>0</v>
      </c>
      <c r="BD9" s="85">
        <f t="shared" si="26"/>
        <v>0</v>
      </c>
      <c r="BE9" s="86">
        <f t="shared" si="76"/>
        <v>0</v>
      </c>
      <c r="BF9" s="85">
        <f t="shared" si="27"/>
        <v>0</v>
      </c>
      <c r="BG9" s="86">
        <f t="shared" si="77"/>
        <v>0</v>
      </c>
      <c r="BH9" s="85">
        <f t="shared" si="28"/>
        <v>0</v>
      </c>
      <c r="BI9" s="86">
        <f t="shared" si="78"/>
        <v>0</v>
      </c>
      <c r="BJ9" s="85">
        <f t="shared" si="29"/>
        <v>3.1673879443585777E-3</v>
      </c>
      <c r="BK9" s="207">
        <f t="shared" si="30"/>
        <v>2.6666009119177617E-3</v>
      </c>
      <c r="BL9" s="85">
        <f t="shared" si="79"/>
        <v>0.21728554081575818</v>
      </c>
      <c r="BM9" s="176">
        <f t="shared" si="80"/>
        <v>0.21728554081575818</v>
      </c>
      <c r="BN9" s="176">
        <f t="shared" si="81"/>
        <v>0.21728554081575818</v>
      </c>
      <c r="BO9" s="176">
        <f t="shared" si="82"/>
        <v>0.22172698212569369</v>
      </c>
      <c r="BP9" s="86">
        <f t="shared" si="83"/>
        <v>0.2231543628141735</v>
      </c>
      <c r="BQ9" s="211">
        <f t="shared" si="84"/>
        <v>1.8695457671480748E-2</v>
      </c>
      <c r="BR9" s="237">
        <f t="shared" si="31"/>
        <v>2.5000000000000001E-3</v>
      </c>
      <c r="BS9" s="237">
        <f t="shared" si="32"/>
        <v>2.5000000000000001E-3</v>
      </c>
      <c r="BT9" s="237">
        <f t="shared" si="33"/>
        <v>0</v>
      </c>
      <c r="BU9" s="237">
        <f t="shared" si="34"/>
        <v>0</v>
      </c>
      <c r="BV9" s="237">
        <f t="shared" si="35"/>
        <v>0</v>
      </c>
      <c r="BW9" s="237">
        <f t="shared" si="36"/>
        <v>0</v>
      </c>
      <c r="BX9" s="212">
        <f t="shared" si="37"/>
        <v>1.0000000000000002E-4</v>
      </c>
      <c r="BY9" s="238">
        <f t="shared" si="85"/>
        <v>2.3795457671480745E-2</v>
      </c>
      <c r="BZ9" s="244">
        <f t="shared" si="86"/>
        <v>1.335389833677196E-3</v>
      </c>
      <c r="CA9" s="243">
        <f t="shared" si="38"/>
        <v>7.3008113207547187E-2</v>
      </c>
      <c r="CB9" s="243">
        <f t="shared" si="39"/>
        <v>0.23099999999999998</v>
      </c>
      <c r="CC9" s="238">
        <f t="shared" si="87"/>
        <v>0.30534350304122437</v>
      </c>
      <c r="CD9" s="244">
        <f t="shared" si="40"/>
        <v>0.15</v>
      </c>
      <c r="CE9" s="243">
        <f t="shared" si="41"/>
        <v>3.0000000000000002E-2</v>
      </c>
      <c r="CF9" s="243">
        <f t="shared" si="42"/>
        <v>0.15</v>
      </c>
      <c r="CG9" s="243">
        <f t="shared" si="43"/>
        <v>3.0000000000000002E-2</v>
      </c>
      <c r="CH9" s="243">
        <f t="shared" si="44"/>
        <v>0</v>
      </c>
      <c r="CI9" s="243">
        <f t="shared" si="45"/>
        <v>0</v>
      </c>
      <c r="CJ9" s="243">
        <f t="shared" si="46"/>
        <v>0</v>
      </c>
      <c r="CK9" s="243">
        <f t="shared" si="47"/>
        <v>0</v>
      </c>
      <c r="CL9" s="243">
        <f t="shared" si="48"/>
        <v>0</v>
      </c>
      <c r="CM9" s="243">
        <f t="shared" si="49"/>
        <v>0</v>
      </c>
      <c r="CN9" s="243">
        <f t="shared" si="50"/>
        <v>0</v>
      </c>
      <c r="CO9" s="243">
        <f t="shared" si="51"/>
        <v>0</v>
      </c>
      <c r="CP9" s="243">
        <f t="shared" si="52"/>
        <v>0.03</v>
      </c>
      <c r="CQ9" s="243">
        <f t="shared" si="53"/>
        <v>6.0000000000000005E-2</v>
      </c>
      <c r="CR9" s="238">
        <f t="shared" si="54"/>
        <v>0.39</v>
      </c>
      <c r="CS9" s="246">
        <f t="shared" si="55"/>
        <v>0.25531553283829511</v>
      </c>
      <c r="CT9" s="188">
        <f t="shared" si="88"/>
        <v>0.97445449355100022</v>
      </c>
      <c r="CU9" s="206">
        <f t="shared" si="56"/>
        <v>6.9744544935510007</v>
      </c>
      <c r="CV9" s="227">
        <f t="shared" si="57"/>
        <v>0.86028233542106558</v>
      </c>
      <c r="CW9">
        <f t="shared" si="58"/>
        <v>21.388964346349745</v>
      </c>
      <c r="CX9">
        <f t="shared" si="59"/>
        <v>82.51170055034973</v>
      </c>
      <c r="DA9" s="22">
        <v>6</v>
      </c>
      <c r="DB9" s="22">
        <f t="shared" si="89"/>
        <v>37.699111843077517</v>
      </c>
      <c r="DC9" s="260">
        <f t="shared" si="90"/>
        <v>23.930201683109903</v>
      </c>
      <c r="DD9" s="93">
        <f t="shared" si="91"/>
        <v>-0.31217498109619862</v>
      </c>
      <c r="DE9" s="260">
        <f t="shared" si="92"/>
        <v>25.513717298081122</v>
      </c>
      <c r="DF9" s="93">
        <f t="shared" si="93"/>
        <v>-0.30620992665755142</v>
      </c>
      <c r="DG9" s="257">
        <f t="shared" si="94"/>
        <v>30.705852841863344</v>
      </c>
      <c r="DH9" s="93">
        <f t="shared" si="95"/>
        <v>-0.37802096391890777</v>
      </c>
      <c r="DI9" s="91">
        <f t="shared" si="96"/>
        <v>20.51172960541993</v>
      </c>
      <c r="DJ9" s="257">
        <f t="shared" si="97"/>
        <v>90.673606141620525</v>
      </c>
      <c r="DK9" s="92">
        <f t="shared" si="98"/>
        <v>21.284929064600355</v>
      </c>
      <c r="DL9" s="93">
        <f t="shared" si="99"/>
        <v>90.698507230074341</v>
      </c>
      <c r="DM9" s="260">
        <f t="shared" si="100"/>
        <v>44.44193128852983</v>
      </c>
      <c r="DN9" s="270">
        <f t="shared" si="101"/>
        <v>90.361431160524319</v>
      </c>
      <c r="DO9" s="260">
        <f t="shared" si="102"/>
        <v>46.025446903501049</v>
      </c>
      <c r="DP9" s="267">
        <f t="shared" si="103"/>
        <v>90.36739621496298</v>
      </c>
      <c r="DQ9" s="257">
        <f t="shared" si="104"/>
        <v>51.217582447283277</v>
      </c>
      <c r="DR9" s="267">
        <f t="shared" si="105"/>
        <v>90.295585177701611</v>
      </c>
      <c r="DS9" s="260">
        <f t="shared" si="106"/>
        <v>45.215130747710262</v>
      </c>
      <c r="DT9" s="269">
        <f t="shared" si="107"/>
        <v>90.38633224897815</v>
      </c>
      <c r="DU9" s="260">
        <f t="shared" si="108"/>
        <v>46.798646362681481</v>
      </c>
      <c r="DV9" s="93">
        <f t="shared" si="109"/>
        <v>90.392297303416797</v>
      </c>
      <c r="DW9" s="257">
        <f t="shared" si="110"/>
        <v>51.990781906463695</v>
      </c>
      <c r="DX9" s="93">
        <f t="shared" si="111"/>
        <v>90.320486266155427</v>
      </c>
    </row>
    <row r="10" spans="1:128" ht="15.75" thickBot="1" x14ac:dyDescent="0.3">
      <c r="A10" s="12" t="s">
        <v>306</v>
      </c>
      <c r="B10" s="21">
        <f>IF(AND(Vout1&lt;&gt;0),((ABS(Vout1)+Vdiode1)*(1-D_spec)*Np)/(VinMin*D_spec),0)</f>
        <v>0.58888888888888891</v>
      </c>
      <c r="C10" s="12"/>
      <c r="L10" s="58">
        <v>6</v>
      </c>
      <c r="M10" s="62">
        <f t="shared" si="0"/>
        <v>13.68</v>
      </c>
      <c r="N10" s="42">
        <f t="shared" si="1"/>
        <v>8.1840781340349492E-5</v>
      </c>
      <c r="O10" s="19">
        <f t="shared" si="2"/>
        <v>7.3656703206314536E-5</v>
      </c>
      <c r="P10" s="43">
        <f t="shared" si="3"/>
        <v>6.696063927846775E-5</v>
      </c>
      <c r="Q10" s="60">
        <f t="shared" si="4"/>
        <v>0.39678024064347273</v>
      </c>
      <c r="R10" s="63">
        <f t="shared" si="5"/>
        <v>0.48732943469785578</v>
      </c>
      <c r="S10" s="28">
        <f t="shared" si="6"/>
        <v>1.22820993784251</v>
      </c>
      <c r="T10" s="12">
        <f t="shared" si="7"/>
        <v>0.2233725799178069</v>
      </c>
      <c r="U10" s="12">
        <f t="shared" si="60"/>
        <v>1.3398962278014135</v>
      </c>
      <c r="V10" s="55">
        <f t="shared" si="8"/>
        <v>1.699034569518004</v>
      </c>
      <c r="W10" s="54">
        <f t="shared" si="61"/>
        <v>0.77472101049792563</v>
      </c>
      <c r="X10" s="55">
        <f t="shared" si="62"/>
        <v>0.60224801052722066</v>
      </c>
      <c r="Y10" s="54">
        <f t="shared" si="9"/>
        <v>0.64875042311087838</v>
      </c>
      <c r="Z10" s="55">
        <f t="shared" si="63"/>
        <v>0.41337284802771423</v>
      </c>
      <c r="AA10" s="54">
        <f t="shared" si="10"/>
        <v>0.64875042311087838</v>
      </c>
      <c r="AB10" s="55">
        <f t="shared" si="64"/>
        <v>0.41337284802771423</v>
      </c>
      <c r="AC10" s="54">
        <f t="shared" si="11"/>
        <v>0</v>
      </c>
      <c r="AD10" s="55">
        <f t="shared" si="65"/>
        <v>0</v>
      </c>
      <c r="AE10" s="54">
        <f t="shared" si="12"/>
        <v>0</v>
      </c>
      <c r="AF10" s="55">
        <f t="shared" si="66"/>
        <v>0</v>
      </c>
      <c r="AG10" s="54">
        <f t="shared" si="13"/>
        <v>0</v>
      </c>
      <c r="AH10" s="55">
        <f t="shared" si="67"/>
        <v>0</v>
      </c>
      <c r="AI10" s="54">
        <f t="shared" si="68"/>
        <v>0</v>
      </c>
      <c r="AJ10" s="177">
        <f t="shared" si="69"/>
        <v>0</v>
      </c>
      <c r="AK10" s="54">
        <f t="shared" si="14"/>
        <v>0.13463882304076016</v>
      </c>
      <c r="AL10" s="55">
        <f t="shared" si="15"/>
        <v>9.0153273206252063E-2</v>
      </c>
      <c r="AM10" s="179">
        <f t="shared" si="16"/>
        <v>1.9568655606037589E-2</v>
      </c>
      <c r="AN10" s="52">
        <f t="shared" si="17"/>
        <v>0</v>
      </c>
      <c r="AO10" s="74">
        <f t="shared" si="70"/>
        <v>0</v>
      </c>
      <c r="AP10" s="78">
        <v>0</v>
      </c>
      <c r="AQ10" s="87">
        <f t="shared" si="18"/>
        <v>0</v>
      </c>
      <c r="AR10" s="46">
        <f t="shared" si="19"/>
        <v>6.3074062699714775</v>
      </c>
      <c r="AS10" s="69">
        <f t="shared" si="20"/>
        <v>4.7305547024786079E-3</v>
      </c>
      <c r="AT10" s="42">
        <f t="shared" si="21"/>
        <v>8.2950413762995403</v>
      </c>
      <c r="AU10" s="79">
        <f t="shared" si="22"/>
        <v>6.2212810322246556E-3</v>
      </c>
      <c r="AV10" s="83">
        <f t="shared" si="71"/>
        <v>2.5544439584723456E-2</v>
      </c>
      <c r="AW10" s="84">
        <f t="shared" si="72"/>
        <v>3.9012325591953195E-2</v>
      </c>
      <c r="AX10" s="42">
        <f t="shared" si="23"/>
        <v>4.1058732612055629E-2</v>
      </c>
      <c r="AY10" s="43">
        <f t="shared" si="73"/>
        <v>2.8063990520185673E-2</v>
      </c>
      <c r="AZ10" s="85">
        <f t="shared" si="24"/>
        <v>4.1058732612055629E-2</v>
      </c>
      <c r="BA10" s="86">
        <f t="shared" si="74"/>
        <v>2.8063990520185673E-2</v>
      </c>
      <c r="BB10" s="85">
        <f t="shared" si="25"/>
        <v>0</v>
      </c>
      <c r="BC10" s="86">
        <f t="shared" si="75"/>
        <v>0</v>
      </c>
      <c r="BD10" s="85">
        <f t="shared" si="26"/>
        <v>0</v>
      </c>
      <c r="BE10" s="86">
        <f t="shared" si="76"/>
        <v>0</v>
      </c>
      <c r="BF10" s="85">
        <f t="shared" si="27"/>
        <v>0</v>
      </c>
      <c r="BG10" s="86">
        <f t="shared" si="77"/>
        <v>0</v>
      </c>
      <c r="BH10" s="85">
        <f t="shared" si="28"/>
        <v>0</v>
      </c>
      <c r="BI10" s="86">
        <f t="shared" si="78"/>
        <v>0</v>
      </c>
      <c r="BJ10" s="85">
        <f t="shared" si="29"/>
        <v>3.1673879443585777E-3</v>
      </c>
      <c r="BK10" s="207">
        <f t="shared" si="30"/>
        <v>2.5743302386744115E-3</v>
      </c>
      <c r="BL10" s="85">
        <f t="shared" si="79"/>
        <v>0.20854392962419224</v>
      </c>
      <c r="BM10" s="176">
        <f t="shared" si="80"/>
        <v>0.20854392962419224</v>
      </c>
      <c r="BN10" s="176">
        <f t="shared" si="81"/>
        <v>0.20854392962419224</v>
      </c>
      <c r="BO10" s="176">
        <f t="shared" si="82"/>
        <v>0.21327448432667084</v>
      </c>
      <c r="BP10" s="86">
        <f t="shared" si="83"/>
        <v>0.2147652106564169</v>
      </c>
      <c r="BQ10" s="211">
        <f t="shared" si="84"/>
        <v>1.6624298454605217E-2</v>
      </c>
      <c r="BR10" s="237">
        <f t="shared" si="31"/>
        <v>2.5000000000000001E-3</v>
      </c>
      <c r="BS10" s="237">
        <f t="shared" si="32"/>
        <v>2.5000000000000001E-3</v>
      </c>
      <c r="BT10" s="237">
        <f t="shared" si="33"/>
        <v>0</v>
      </c>
      <c r="BU10" s="237">
        <f t="shared" si="34"/>
        <v>0</v>
      </c>
      <c r="BV10" s="237">
        <f t="shared" si="35"/>
        <v>0</v>
      </c>
      <c r="BW10" s="237">
        <f t="shared" si="36"/>
        <v>0</v>
      </c>
      <c r="BX10" s="212">
        <f t="shared" si="37"/>
        <v>1.0000000000000002E-4</v>
      </c>
      <c r="BY10" s="238">
        <f t="shared" si="85"/>
        <v>2.1724298454605214E-2</v>
      </c>
      <c r="BZ10" s="244">
        <f t="shared" si="86"/>
        <v>1.1874498896146583E-3</v>
      </c>
      <c r="CA10" s="243">
        <f t="shared" si="38"/>
        <v>7.5608603773584915E-2</v>
      </c>
      <c r="CB10" s="243">
        <f t="shared" si="39"/>
        <v>0.23099999999999998</v>
      </c>
      <c r="CC10" s="238">
        <f t="shared" si="87"/>
        <v>0.30779605366319956</v>
      </c>
      <c r="CD10" s="244">
        <f t="shared" si="40"/>
        <v>0.15</v>
      </c>
      <c r="CE10" s="243">
        <f t="shared" si="41"/>
        <v>3.0000000000000002E-2</v>
      </c>
      <c r="CF10" s="243">
        <f t="shared" si="42"/>
        <v>0.15</v>
      </c>
      <c r="CG10" s="243">
        <f t="shared" si="43"/>
        <v>3.0000000000000002E-2</v>
      </c>
      <c r="CH10" s="243">
        <f t="shared" si="44"/>
        <v>0</v>
      </c>
      <c r="CI10" s="243">
        <f t="shared" si="45"/>
        <v>0</v>
      </c>
      <c r="CJ10" s="243">
        <f t="shared" si="46"/>
        <v>0</v>
      </c>
      <c r="CK10" s="243">
        <f t="shared" si="47"/>
        <v>0</v>
      </c>
      <c r="CL10" s="243">
        <f t="shared" si="48"/>
        <v>0</v>
      </c>
      <c r="CM10" s="243">
        <f t="shared" si="49"/>
        <v>0</v>
      </c>
      <c r="CN10" s="243">
        <f t="shared" si="50"/>
        <v>0</v>
      </c>
      <c r="CO10" s="243">
        <f t="shared" si="51"/>
        <v>0</v>
      </c>
      <c r="CP10" s="243">
        <f t="shared" si="52"/>
        <v>0.03</v>
      </c>
      <c r="CQ10" s="243">
        <f t="shared" si="53"/>
        <v>6.0000000000000005E-2</v>
      </c>
      <c r="CR10" s="238">
        <f t="shared" si="54"/>
        <v>0.39</v>
      </c>
      <c r="CS10" s="246">
        <f t="shared" si="55"/>
        <v>0.24518597094687658</v>
      </c>
      <c r="CT10" s="188">
        <f t="shared" si="88"/>
        <v>0.9647063230646814</v>
      </c>
      <c r="CU10" s="206">
        <f t="shared" si="56"/>
        <v>6.9647063230646813</v>
      </c>
      <c r="CV10" s="227">
        <f t="shared" si="57"/>
        <v>0.86148643197346164</v>
      </c>
      <c r="CW10">
        <f t="shared" si="58"/>
        <v>22.168964346349746</v>
      </c>
      <c r="CX10">
        <f t="shared" si="59"/>
        <v>82.090945309539819</v>
      </c>
      <c r="DA10" s="22">
        <v>7</v>
      </c>
      <c r="DB10" s="22">
        <f t="shared" si="89"/>
        <v>43.982297150257104</v>
      </c>
      <c r="DC10" s="260">
        <f t="shared" si="90"/>
        <v>23.930162055915602</v>
      </c>
      <c r="DD10" s="93">
        <f t="shared" si="91"/>
        <v>-0.36420312252043774</v>
      </c>
      <c r="DE10" s="260">
        <f t="shared" si="92"/>
        <v>25.513677650279789</v>
      </c>
      <c r="DF10" s="93">
        <f t="shared" si="93"/>
        <v>-0.35724389242658661</v>
      </c>
      <c r="DG10" s="257">
        <f t="shared" si="94"/>
        <v>30.705786338236596</v>
      </c>
      <c r="DH10" s="93">
        <f t="shared" si="95"/>
        <v>-0.44102223629583326</v>
      </c>
      <c r="DI10" s="91">
        <f t="shared" si="96"/>
        <v>19.173019779329451</v>
      </c>
      <c r="DJ10" s="257">
        <f t="shared" si="97"/>
        <v>90.785859906157356</v>
      </c>
      <c r="DK10" s="92">
        <f t="shared" si="98"/>
        <v>19.946235855986806</v>
      </c>
      <c r="DL10" s="93">
        <f t="shared" si="99"/>
        <v>90.81490961267761</v>
      </c>
      <c r="DM10" s="260">
        <f t="shared" si="100"/>
        <v>43.103181835245053</v>
      </c>
      <c r="DN10" s="270">
        <f t="shared" si="101"/>
        <v>90.421656783636919</v>
      </c>
      <c r="DO10" s="260">
        <f t="shared" si="102"/>
        <v>44.686697429609239</v>
      </c>
      <c r="DP10" s="267">
        <f t="shared" si="103"/>
        <v>90.428616013730775</v>
      </c>
      <c r="DQ10" s="257">
        <f t="shared" si="104"/>
        <v>49.878806117566043</v>
      </c>
      <c r="DR10" s="267">
        <f t="shared" si="105"/>
        <v>90.344837669861519</v>
      </c>
      <c r="DS10" s="260">
        <f t="shared" si="106"/>
        <v>43.876397911902409</v>
      </c>
      <c r="DT10" s="269">
        <f t="shared" si="107"/>
        <v>90.450706490157174</v>
      </c>
      <c r="DU10" s="260">
        <f t="shared" si="108"/>
        <v>45.459913506266595</v>
      </c>
      <c r="DV10" s="93">
        <f t="shared" si="109"/>
        <v>90.457665720251029</v>
      </c>
      <c r="DW10" s="257">
        <f t="shared" si="110"/>
        <v>50.652022194223406</v>
      </c>
      <c r="DX10" s="93">
        <f t="shared" si="111"/>
        <v>90.373887376381774</v>
      </c>
    </row>
    <row r="11" spans="1:128" ht="15.75" thickBot="1" x14ac:dyDescent="0.3">
      <c r="A11" s="12" t="s">
        <v>307</v>
      </c>
      <c r="B11" s="12">
        <f>IF(n1_Flyback_Calc&lt;&gt;0,n1_Flyback/Np,0)</f>
        <v>0.58899999999999997</v>
      </c>
      <c r="C11" s="12"/>
      <c r="L11" s="58">
        <v>7</v>
      </c>
      <c r="M11" s="62">
        <f t="shared" si="0"/>
        <v>14.46</v>
      </c>
      <c r="N11" s="42">
        <f t="shared" si="1"/>
        <v>8.5459841105788598E-5</v>
      </c>
      <c r="O11" s="19">
        <f t="shared" si="2"/>
        <v>7.6913856995209728E-5</v>
      </c>
      <c r="P11" s="43">
        <f t="shared" si="3"/>
        <v>6.992168817746339E-5</v>
      </c>
      <c r="Q11" s="60">
        <f t="shared" si="4"/>
        <v>0.38358710394631518</v>
      </c>
      <c r="R11" s="63">
        <f t="shared" si="5"/>
        <v>0.4610419548178884</v>
      </c>
      <c r="S11" s="28">
        <f t="shared" si="6"/>
        <v>1.2019224579625425</v>
      </c>
      <c r="T11" s="12">
        <f t="shared" si="7"/>
        <v>0.22825800506435057</v>
      </c>
      <c r="U11" s="12">
        <f t="shared" si="60"/>
        <v>1.3160514604947178</v>
      </c>
      <c r="V11" s="55">
        <f t="shared" si="8"/>
        <v>1.6610228980917412</v>
      </c>
      <c r="W11" s="54">
        <f t="shared" si="61"/>
        <v>0.74552138921864275</v>
      </c>
      <c r="X11" s="55">
        <f t="shared" si="62"/>
        <v>0.5858689765469709</v>
      </c>
      <c r="Y11" s="54">
        <f t="shared" si="9"/>
        <v>0.64221355431103033</v>
      </c>
      <c r="Z11" s="55">
        <f t="shared" si="63"/>
        <v>0.40303628787096418</v>
      </c>
      <c r="AA11" s="54">
        <f t="shared" si="10"/>
        <v>0.64221355431103033</v>
      </c>
      <c r="AB11" s="55">
        <f t="shared" si="64"/>
        <v>0.40303628787096418</v>
      </c>
      <c r="AC11" s="54">
        <f t="shared" si="11"/>
        <v>0</v>
      </c>
      <c r="AD11" s="55">
        <f t="shared" si="65"/>
        <v>0</v>
      </c>
      <c r="AE11" s="54">
        <f t="shared" si="12"/>
        <v>0</v>
      </c>
      <c r="AF11" s="55">
        <f t="shared" si="66"/>
        <v>0</v>
      </c>
      <c r="AG11" s="54">
        <f t="shared" si="13"/>
        <v>0</v>
      </c>
      <c r="AH11" s="55">
        <f t="shared" si="67"/>
        <v>0</v>
      </c>
      <c r="AI11" s="54">
        <f t="shared" si="68"/>
        <v>0</v>
      </c>
      <c r="AJ11" s="177">
        <f t="shared" si="69"/>
        <v>0</v>
      </c>
      <c r="AK11" s="54">
        <f t="shared" si="14"/>
        <v>0.13370390403255236</v>
      </c>
      <c r="AL11" s="55">
        <f t="shared" si="15"/>
        <v>8.8750965930213782E-2</v>
      </c>
      <c r="AM11" s="179">
        <f t="shared" si="16"/>
        <v>1.9996645479355823E-2</v>
      </c>
      <c r="AN11" s="52">
        <f t="shared" si="17"/>
        <v>0</v>
      </c>
      <c r="AO11" s="74">
        <f t="shared" si="70"/>
        <v>0</v>
      </c>
      <c r="AP11" s="78">
        <v>0</v>
      </c>
      <c r="AQ11" s="87">
        <f t="shared" si="18"/>
        <v>0</v>
      </c>
      <c r="AR11" s="46">
        <f t="shared" si="19"/>
        <v>6.6810478646415534</v>
      </c>
      <c r="AS11" s="69">
        <f t="shared" si="20"/>
        <v>5.0107858984811656E-3</v>
      </c>
      <c r="AT11" s="42">
        <f t="shared" si="21"/>
        <v>8.7484900642629277</v>
      </c>
      <c r="AU11" s="79">
        <f t="shared" si="22"/>
        <v>6.5613675481971962E-3</v>
      </c>
      <c r="AV11" s="83">
        <f t="shared" si="71"/>
        <v>2.2862935338101339E-2</v>
      </c>
      <c r="AW11" s="84">
        <f t="shared" si="72"/>
        <v>3.691918412645203E-2</v>
      </c>
      <c r="AX11" s="42">
        <f t="shared" si="23"/>
        <v>4.1058732612055629E-2</v>
      </c>
      <c r="AY11" s="43">
        <f t="shared" si="73"/>
        <v>2.6678034582618419E-2</v>
      </c>
      <c r="AZ11" s="85">
        <f t="shared" si="24"/>
        <v>4.1058732612055629E-2</v>
      </c>
      <c r="BA11" s="86">
        <f t="shared" si="74"/>
        <v>2.6678034582618419E-2</v>
      </c>
      <c r="BB11" s="85">
        <f t="shared" si="25"/>
        <v>0</v>
      </c>
      <c r="BC11" s="86">
        <f t="shared" si="75"/>
        <v>0</v>
      </c>
      <c r="BD11" s="85">
        <f t="shared" si="26"/>
        <v>0</v>
      </c>
      <c r="BE11" s="86">
        <f t="shared" si="76"/>
        <v>0</v>
      </c>
      <c r="BF11" s="85">
        <f t="shared" si="27"/>
        <v>0</v>
      </c>
      <c r="BG11" s="86">
        <f t="shared" si="77"/>
        <v>0</v>
      </c>
      <c r="BH11" s="85">
        <f t="shared" si="28"/>
        <v>0</v>
      </c>
      <c r="BI11" s="86">
        <f t="shared" si="78"/>
        <v>0</v>
      </c>
      <c r="BJ11" s="85">
        <f t="shared" si="29"/>
        <v>3.1673879443585777E-3</v>
      </c>
      <c r="BK11" s="207">
        <f t="shared" si="30"/>
        <v>2.4948672165381373E-3</v>
      </c>
      <c r="BL11" s="85">
        <f t="shared" si="79"/>
        <v>0.2009179090147982</v>
      </c>
      <c r="BM11" s="176">
        <f t="shared" si="80"/>
        <v>0.2009179090147982</v>
      </c>
      <c r="BN11" s="176">
        <f t="shared" si="81"/>
        <v>0.2009179090147982</v>
      </c>
      <c r="BO11" s="176">
        <f t="shared" si="82"/>
        <v>0.20592869491327936</v>
      </c>
      <c r="BP11" s="86">
        <f t="shared" si="83"/>
        <v>0.20747927656299539</v>
      </c>
      <c r="BQ11" s="211">
        <f t="shared" si="84"/>
        <v>1.4879177887160991E-2</v>
      </c>
      <c r="BR11" s="237">
        <f t="shared" si="31"/>
        <v>2.5000000000000001E-3</v>
      </c>
      <c r="BS11" s="237">
        <f t="shared" si="32"/>
        <v>2.5000000000000001E-3</v>
      </c>
      <c r="BT11" s="237">
        <f t="shared" si="33"/>
        <v>0</v>
      </c>
      <c r="BU11" s="237">
        <f t="shared" si="34"/>
        <v>0</v>
      </c>
      <c r="BV11" s="237">
        <f t="shared" si="35"/>
        <v>0</v>
      </c>
      <c r="BW11" s="237">
        <f t="shared" si="36"/>
        <v>0</v>
      </c>
      <c r="BX11" s="212">
        <f t="shared" si="37"/>
        <v>1.0000000000000002E-4</v>
      </c>
      <c r="BY11" s="238">
        <f t="shared" si="85"/>
        <v>1.9979177887160988E-2</v>
      </c>
      <c r="BZ11" s="244">
        <f t="shared" si="86"/>
        <v>1.0627984205114993E-3</v>
      </c>
      <c r="CA11" s="243">
        <f t="shared" si="38"/>
        <v>7.8209094339622656E-2</v>
      </c>
      <c r="CB11" s="243">
        <f t="shared" si="39"/>
        <v>0.23099999999999998</v>
      </c>
      <c r="CC11" s="238">
        <f t="shared" si="87"/>
        <v>0.31027189276013412</v>
      </c>
      <c r="CD11" s="244">
        <f t="shared" si="40"/>
        <v>0.15</v>
      </c>
      <c r="CE11" s="243">
        <f t="shared" si="41"/>
        <v>3.0000000000000002E-2</v>
      </c>
      <c r="CF11" s="243">
        <f t="shared" si="42"/>
        <v>0.15</v>
      </c>
      <c r="CG11" s="243">
        <f t="shared" si="43"/>
        <v>3.0000000000000002E-2</v>
      </c>
      <c r="CH11" s="243">
        <f t="shared" si="44"/>
        <v>0</v>
      </c>
      <c r="CI11" s="243">
        <f t="shared" si="45"/>
        <v>0</v>
      </c>
      <c r="CJ11" s="243">
        <f t="shared" si="46"/>
        <v>0</v>
      </c>
      <c r="CK11" s="243">
        <f t="shared" si="47"/>
        <v>0</v>
      </c>
      <c r="CL11" s="243">
        <f t="shared" si="48"/>
        <v>0</v>
      </c>
      <c r="CM11" s="243">
        <f t="shared" si="49"/>
        <v>0</v>
      </c>
      <c r="CN11" s="243">
        <f t="shared" si="50"/>
        <v>0</v>
      </c>
      <c r="CO11" s="243">
        <f t="shared" si="51"/>
        <v>0</v>
      </c>
      <c r="CP11" s="243">
        <f t="shared" si="52"/>
        <v>0.03</v>
      </c>
      <c r="CQ11" s="243">
        <f t="shared" si="53"/>
        <v>6.0000000000000005E-2</v>
      </c>
      <c r="CR11" s="238">
        <f t="shared" si="54"/>
        <v>0.39</v>
      </c>
      <c r="CS11" s="246">
        <f t="shared" si="55"/>
        <v>0.23634400747378939</v>
      </c>
      <c r="CT11" s="188">
        <f t="shared" si="88"/>
        <v>0.95659507812108446</v>
      </c>
      <c r="CU11" s="206">
        <f t="shared" si="56"/>
        <v>6.9565950781210848</v>
      </c>
      <c r="CV11" s="227">
        <f t="shared" si="57"/>
        <v>0.86249090720694177</v>
      </c>
      <c r="CW11">
        <f t="shared" si="58"/>
        <v>22.948964346349747</v>
      </c>
      <c r="CX11">
        <f t="shared" si="59"/>
        <v>81.80457489743111</v>
      </c>
      <c r="DA11" s="22">
        <v>8</v>
      </c>
      <c r="DB11" s="22">
        <f t="shared" si="89"/>
        <v>50.26548245743669</v>
      </c>
      <c r="DC11" s="260">
        <f t="shared" si="90"/>
        <v>23.930116332679212</v>
      </c>
      <c r="DD11" s="93">
        <f t="shared" si="91"/>
        <v>-0.41623079222589227</v>
      </c>
      <c r="DE11" s="260">
        <f t="shared" si="92"/>
        <v>25.513631903265924</v>
      </c>
      <c r="DF11" s="93">
        <f t="shared" si="93"/>
        <v>-0.40827738651587092</v>
      </c>
      <c r="DG11" s="257">
        <f t="shared" si="94"/>
        <v>30.705709604547764</v>
      </c>
      <c r="DH11" s="93">
        <f t="shared" si="95"/>
        <v>-0.50402248337246713</v>
      </c>
      <c r="DI11" s="91">
        <f t="shared" si="96"/>
        <v>18.013441555756359</v>
      </c>
      <c r="DJ11" s="257">
        <f t="shared" si="97"/>
        <v>90.898107244667926</v>
      </c>
      <c r="DK11" s="92">
        <f t="shared" si="98"/>
        <v>18.786676804197217</v>
      </c>
      <c r="DL11" s="93">
        <f t="shared" si="99"/>
        <v>90.93130484795158</v>
      </c>
      <c r="DM11" s="260">
        <f t="shared" si="100"/>
        <v>41.943557888435571</v>
      </c>
      <c r="DN11" s="270">
        <f t="shared" si="101"/>
        <v>90.481876452442023</v>
      </c>
      <c r="DO11" s="260">
        <f t="shared" si="102"/>
        <v>43.527073459022283</v>
      </c>
      <c r="DP11" s="267">
        <f t="shared" si="103"/>
        <v>90.489829858152049</v>
      </c>
      <c r="DQ11" s="257">
        <f t="shared" si="104"/>
        <v>48.719151160304122</v>
      </c>
      <c r="DR11" s="267">
        <f t="shared" si="105"/>
        <v>90.39408476129546</v>
      </c>
      <c r="DS11" s="260">
        <f t="shared" si="106"/>
        <v>42.716793136876433</v>
      </c>
      <c r="DT11" s="269">
        <f t="shared" si="107"/>
        <v>90.515074055725677</v>
      </c>
      <c r="DU11" s="260">
        <f t="shared" si="108"/>
        <v>44.300308707463145</v>
      </c>
      <c r="DV11" s="93">
        <f t="shared" si="109"/>
        <v>90.523027461435703</v>
      </c>
      <c r="DW11" s="257">
        <f t="shared" si="110"/>
        <v>49.492386408744977</v>
      </c>
      <c r="DX11" s="93">
        <f t="shared" si="111"/>
        <v>90.427282364579114</v>
      </c>
    </row>
    <row r="12" spans="1:128" ht="15.75" thickBot="1" x14ac:dyDescent="0.3">
      <c r="A12" s="12" t="s">
        <v>308</v>
      </c>
      <c r="B12" s="21">
        <f>IF(AND(Vout2&lt;&gt;0,n1_Flyback&lt;&gt;0,IoutPri_FBB=0),((ABS(Vout2)+Vdiode2)*(n1_Flyback/Np))/(ABS(Vout1)+Vdiode1),0)</f>
        <v>0.58899999999999997</v>
      </c>
      <c r="C12" s="12"/>
      <c r="L12" s="58">
        <v>8</v>
      </c>
      <c r="M12" s="62">
        <f t="shared" si="0"/>
        <v>15.24</v>
      </c>
      <c r="N12" s="42">
        <f t="shared" si="1"/>
        <v>8.8916874975197887E-5</v>
      </c>
      <c r="O12" s="19">
        <f t="shared" si="2"/>
        <v>8.0025187477678097E-5</v>
      </c>
      <c r="P12" s="43">
        <f t="shared" si="3"/>
        <v>7.2750170434252818E-5</v>
      </c>
      <c r="Q12" s="60">
        <f t="shared" si="4"/>
        <v>0.3712430899753158</v>
      </c>
      <c r="R12" s="63">
        <f t="shared" si="5"/>
        <v>0.43744531933508307</v>
      </c>
      <c r="S12" s="28">
        <f t="shared" si="6"/>
        <v>1.1783258224797371</v>
      </c>
      <c r="T12" s="12">
        <f t="shared" si="7"/>
        <v>0.23282899963884005</v>
      </c>
      <c r="U12" s="12">
        <f t="shared" si="60"/>
        <v>1.2947403222991571</v>
      </c>
      <c r="V12" s="55">
        <f t="shared" si="8"/>
        <v>1.6267021559070851</v>
      </c>
      <c r="W12" s="54">
        <f t="shared" si="61"/>
        <v>0.71911764408271894</v>
      </c>
      <c r="X12" s="55">
        <f t="shared" si="62"/>
        <v>0.57076420580035259</v>
      </c>
      <c r="Y12" s="54">
        <f t="shared" si="9"/>
        <v>0.63631492644035892</v>
      </c>
      <c r="Z12" s="55">
        <f t="shared" si="63"/>
        <v>0.39356916242358136</v>
      </c>
      <c r="AA12" s="54">
        <f t="shared" si="10"/>
        <v>0.63631492644035892</v>
      </c>
      <c r="AB12" s="55">
        <f t="shared" si="64"/>
        <v>0.39356916242358136</v>
      </c>
      <c r="AC12" s="54">
        <f t="shared" si="11"/>
        <v>0</v>
      </c>
      <c r="AD12" s="55">
        <f t="shared" si="65"/>
        <v>0</v>
      </c>
      <c r="AE12" s="54">
        <f t="shared" si="12"/>
        <v>0</v>
      </c>
      <c r="AF12" s="55">
        <f t="shared" si="66"/>
        <v>0</v>
      </c>
      <c r="AG12" s="54">
        <f t="shared" si="13"/>
        <v>0</v>
      </c>
      <c r="AH12" s="55">
        <f t="shared" si="67"/>
        <v>0</v>
      </c>
      <c r="AI12" s="54">
        <f t="shared" si="68"/>
        <v>0</v>
      </c>
      <c r="AJ12" s="177">
        <f t="shared" si="69"/>
        <v>0</v>
      </c>
      <c r="AK12" s="54">
        <f t="shared" si="14"/>
        <v>0.13288942681044855</v>
      </c>
      <c r="AL12" s="55">
        <f t="shared" si="15"/>
        <v>8.7519139381106559E-2</v>
      </c>
      <c r="AM12" s="179">
        <f t="shared" si="16"/>
        <v>2.0397089520599224E-2</v>
      </c>
      <c r="AN12" s="52">
        <f t="shared" si="17"/>
        <v>0</v>
      </c>
      <c r="AO12" s="74">
        <f t="shared" si="70"/>
        <v>0</v>
      </c>
      <c r="AP12" s="78">
        <v>0</v>
      </c>
      <c r="AQ12" s="87">
        <f t="shared" si="18"/>
        <v>0</v>
      </c>
      <c r="AR12" s="46">
        <f t="shared" si="19"/>
        <v>7.0428751425178113</v>
      </c>
      <c r="AS12" s="69">
        <f t="shared" si="20"/>
        <v>5.2821563568883588E-3</v>
      </c>
      <c r="AT12" s="42">
        <f t="shared" si="21"/>
        <v>9.1857854604548628</v>
      </c>
      <c r="AU12" s="79">
        <f t="shared" si="22"/>
        <v>6.8893390953411468E-3</v>
      </c>
      <c r="AV12" s="83">
        <f t="shared" si="71"/>
        <v>2.058252444931899E-2</v>
      </c>
      <c r="AW12" s="84">
        <f t="shared" si="72"/>
        <v>3.5040036595317868E-2</v>
      </c>
      <c r="AX12" s="42">
        <f t="shared" si="23"/>
        <v>4.1058732612055629E-2</v>
      </c>
      <c r="AY12" s="43">
        <f t="shared" si="73"/>
        <v>2.5439446387949823E-2</v>
      </c>
      <c r="AZ12" s="85">
        <f t="shared" si="24"/>
        <v>4.1058732612055629E-2</v>
      </c>
      <c r="BA12" s="86">
        <f t="shared" si="74"/>
        <v>2.5439446387949823E-2</v>
      </c>
      <c r="BB12" s="85">
        <f t="shared" si="25"/>
        <v>0</v>
      </c>
      <c r="BC12" s="86">
        <f t="shared" si="75"/>
        <v>0</v>
      </c>
      <c r="BD12" s="85">
        <f t="shared" si="26"/>
        <v>0</v>
      </c>
      <c r="BE12" s="86">
        <f t="shared" si="76"/>
        <v>0</v>
      </c>
      <c r="BF12" s="85">
        <f t="shared" si="27"/>
        <v>0</v>
      </c>
      <c r="BG12" s="86">
        <f t="shared" si="77"/>
        <v>0</v>
      </c>
      <c r="BH12" s="85">
        <f t="shared" si="28"/>
        <v>0</v>
      </c>
      <c r="BI12" s="86">
        <f t="shared" si="78"/>
        <v>0</v>
      </c>
      <c r="BJ12" s="85">
        <f t="shared" si="29"/>
        <v>3.1673879443585777E-3</v>
      </c>
      <c r="BK12" s="207">
        <f t="shared" si="30"/>
        <v>2.4260923932131347E-3</v>
      </c>
      <c r="BL12" s="85">
        <f t="shared" si="79"/>
        <v>0.19421239938221946</v>
      </c>
      <c r="BM12" s="176">
        <f t="shared" si="80"/>
        <v>0.19421239938221946</v>
      </c>
      <c r="BN12" s="176">
        <f t="shared" si="81"/>
        <v>0.19421239938221946</v>
      </c>
      <c r="BO12" s="176">
        <f t="shared" si="82"/>
        <v>0.19949455573910782</v>
      </c>
      <c r="BP12" s="86">
        <f t="shared" si="83"/>
        <v>0.2011017384775606</v>
      </c>
      <c r="BQ12" s="211">
        <f t="shared" si="84"/>
        <v>1.3395088518572098E-2</v>
      </c>
      <c r="BR12" s="237">
        <f t="shared" si="31"/>
        <v>2.5000000000000001E-3</v>
      </c>
      <c r="BS12" s="237">
        <f t="shared" si="32"/>
        <v>2.5000000000000001E-3</v>
      </c>
      <c r="BT12" s="237">
        <f t="shared" si="33"/>
        <v>0</v>
      </c>
      <c r="BU12" s="237">
        <f t="shared" si="34"/>
        <v>0</v>
      </c>
      <c r="BV12" s="237">
        <f t="shared" si="35"/>
        <v>0</v>
      </c>
      <c r="BW12" s="237">
        <f t="shared" si="36"/>
        <v>0</v>
      </c>
      <c r="BX12" s="212">
        <f t="shared" si="37"/>
        <v>1.0000000000000002E-4</v>
      </c>
      <c r="BY12" s="238">
        <f t="shared" si="85"/>
        <v>1.8495088518572095E-2</v>
      </c>
      <c r="BZ12" s="244">
        <f t="shared" si="86"/>
        <v>9.5679203704086412E-4</v>
      </c>
      <c r="CA12" s="243">
        <f t="shared" si="38"/>
        <v>8.0809584905660384E-2</v>
      </c>
      <c r="CB12" s="243">
        <f t="shared" si="39"/>
        <v>0.23099999999999998</v>
      </c>
      <c r="CC12" s="238">
        <f t="shared" si="87"/>
        <v>0.31276637694270126</v>
      </c>
      <c r="CD12" s="244">
        <f t="shared" si="40"/>
        <v>0.15</v>
      </c>
      <c r="CE12" s="243">
        <f t="shared" si="41"/>
        <v>3.0000000000000002E-2</v>
      </c>
      <c r="CF12" s="243">
        <f t="shared" si="42"/>
        <v>0.15</v>
      </c>
      <c r="CG12" s="243">
        <f t="shared" si="43"/>
        <v>3.0000000000000002E-2</v>
      </c>
      <c r="CH12" s="243">
        <f t="shared" si="44"/>
        <v>0</v>
      </c>
      <c r="CI12" s="243">
        <f t="shared" si="45"/>
        <v>0</v>
      </c>
      <c r="CJ12" s="243">
        <f t="shared" si="46"/>
        <v>0</v>
      </c>
      <c r="CK12" s="243">
        <f t="shared" si="47"/>
        <v>0</v>
      </c>
      <c r="CL12" s="243">
        <f t="shared" si="48"/>
        <v>0</v>
      </c>
      <c r="CM12" s="243">
        <f t="shared" si="49"/>
        <v>0</v>
      </c>
      <c r="CN12" s="243">
        <f t="shared" si="50"/>
        <v>0</v>
      </c>
      <c r="CO12" s="243">
        <f t="shared" si="51"/>
        <v>0</v>
      </c>
      <c r="CP12" s="243">
        <f t="shared" si="52"/>
        <v>0.03</v>
      </c>
      <c r="CQ12" s="243">
        <f t="shared" si="53"/>
        <v>6.0000000000000005E-2</v>
      </c>
      <c r="CR12" s="238">
        <f t="shared" si="54"/>
        <v>0.39</v>
      </c>
      <c r="CS12" s="246">
        <f t="shared" si="55"/>
        <v>0.22856174180817013</v>
      </c>
      <c r="CT12" s="188">
        <f t="shared" si="88"/>
        <v>0.94982320726944347</v>
      </c>
      <c r="CU12" s="206">
        <f t="shared" si="56"/>
        <v>6.9498232072694437</v>
      </c>
      <c r="CV12" s="227">
        <f t="shared" si="57"/>
        <v>0.86333131376983252</v>
      </c>
      <c r="CW12">
        <f t="shared" si="58"/>
        <v>23.728964346349748</v>
      </c>
      <c r="CX12">
        <f t="shared" si="59"/>
        <v>81.631511823767795</v>
      </c>
      <c r="DA12" s="22">
        <v>9</v>
      </c>
      <c r="DB12" s="22">
        <f t="shared" si="89"/>
        <v>56.548667764616276</v>
      </c>
      <c r="DC12" s="260">
        <f t="shared" si="90"/>
        <v>23.930064513593166</v>
      </c>
      <c r="DD12" s="93">
        <f t="shared" si="91"/>
        <v>-0.46825792283551421</v>
      </c>
      <c r="DE12" s="260">
        <f t="shared" si="92"/>
        <v>25.513580057232083</v>
      </c>
      <c r="DF12" s="93">
        <f t="shared" si="93"/>
        <v>-0.4593103415539308</v>
      </c>
      <c r="DG12" s="257">
        <f t="shared" si="94"/>
        <v>30.705622641339069</v>
      </c>
      <c r="DH12" s="93">
        <f t="shared" si="95"/>
        <v>-0.56702155871874449</v>
      </c>
      <c r="DI12" s="91">
        <f t="shared" si="96"/>
        <v>16.990686565984305</v>
      </c>
      <c r="DJ12" s="257">
        <f t="shared" si="97"/>
        <v>91.010347240030569</v>
      </c>
      <c r="DK12" s="92">
        <f t="shared" si="98"/>
        <v>17.763943539560685</v>
      </c>
      <c r="DL12" s="93">
        <f t="shared" si="99"/>
        <v>91.047691915902377</v>
      </c>
      <c r="DM12" s="260">
        <f t="shared" si="100"/>
        <v>40.920751079577471</v>
      </c>
      <c r="DN12" s="270">
        <f t="shared" si="101"/>
        <v>90.542089317195064</v>
      </c>
      <c r="DO12" s="260">
        <f t="shared" si="102"/>
        <v>42.504266623216388</v>
      </c>
      <c r="DP12" s="267">
        <f t="shared" si="103"/>
        <v>90.551036898476639</v>
      </c>
      <c r="DQ12" s="257">
        <f t="shared" si="104"/>
        <v>47.696309207323374</v>
      </c>
      <c r="DR12" s="267">
        <f t="shared" si="105"/>
        <v>90.443325681311819</v>
      </c>
      <c r="DS12" s="260">
        <f t="shared" si="106"/>
        <v>41.694008053153851</v>
      </c>
      <c r="DT12" s="269">
        <f t="shared" si="107"/>
        <v>90.579433993066857</v>
      </c>
      <c r="DU12" s="260">
        <f t="shared" si="108"/>
        <v>43.277523596792769</v>
      </c>
      <c r="DV12" s="93">
        <f t="shared" si="109"/>
        <v>90.588381574348446</v>
      </c>
      <c r="DW12" s="257">
        <f t="shared" si="110"/>
        <v>48.469566180899754</v>
      </c>
      <c r="DX12" s="93">
        <f t="shared" si="111"/>
        <v>90.480670357183627</v>
      </c>
    </row>
    <row r="13" spans="1:128" ht="15.75" thickBot="1" x14ac:dyDescent="0.3">
      <c r="A13" s="12" t="s">
        <v>309</v>
      </c>
      <c r="B13" s="12">
        <f>IF(n2_Flyback_Calc&lt;&gt;0,n2_Flyback/Np,0)</f>
        <v>0.58899999999999997</v>
      </c>
      <c r="C13" s="12"/>
      <c r="L13" s="58">
        <v>9</v>
      </c>
      <c r="M13" s="62">
        <f t="shared" si="0"/>
        <v>16.02</v>
      </c>
      <c r="N13" s="42">
        <f t="shared" si="1"/>
        <v>9.2220612822017315E-5</v>
      </c>
      <c r="O13" s="19">
        <f t="shared" si="2"/>
        <v>8.2998551539815603E-5</v>
      </c>
      <c r="P13" s="43">
        <f t="shared" si="3"/>
        <v>7.5453228672559631E-5</v>
      </c>
      <c r="Q13" s="60">
        <f t="shared" si="4"/>
        <v>0.3596687789855712</v>
      </c>
      <c r="R13" s="63">
        <f t="shared" si="5"/>
        <v>0.4161464835622139</v>
      </c>
      <c r="S13" s="28">
        <f t="shared" si="6"/>
        <v>1.1570269867068679</v>
      </c>
      <c r="T13" s="12">
        <f t="shared" si="7"/>
        <v>0.23711497281270993</v>
      </c>
      <c r="U13" s="12">
        <f t="shared" si="60"/>
        <v>1.2755844731132229</v>
      </c>
      <c r="V13" s="55">
        <f t="shared" si="8"/>
        <v>1.595548111386794</v>
      </c>
      <c r="W13" s="54">
        <f t="shared" si="61"/>
        <v>0.69510996637025912</v>
      </c>
      <c r="X13" s="55">
        <f t="shared" si="62"/>
        <v>0.55677640895252267</v>
      </c>
      <c r="Y13" s="54">
        <f t="shared" si="9"/>
        <v>0.63096715129010694</v>
      </c>
      <c r="Z13" s="55">
        <f t="shared" si="63"/>
        <v>0.38486302239517983</v>
      </c>
      <c r="AA13" s="54">
        <f t="shared" si="10"/>
        <v>0.63096715129010694</v>
      </c>
      <c r="AB13" s="55">
        <f t="shared" si="64"/>
        <v>0.38486302239517983</v>
      </c>
      <c r="AC13" s="54">
        <f t="shared" si="11"/>
        <v>0</v>
      </c>
      <c r="AD13" s="55">
        <f t="shared" si="65"/>
        <v>0</v>
      </c>
      <c r="AE13" s="54">
        <f t="shared" si="12"/>
        <v>0</v>
      </c>
      <c r="AF13" s="55">
        <f t="shared" si="66"/>
        <v>0</v>
      </c>
      <c r="AG13" s="54">
        <f t="shared" si="13"/>
        <v>0</v>
      </c>
      <c r="AH13" s="55">
        <f t="shared" si="67"/>
        <v>0</v>
      </c>
      <c r="AI13" s="54">
        <f t="shared" si="68"/>
        <v>0</v>
      </c>
      <c r="AJ13" s="177">
        <f t="shared" si="69"/>
        <v>0</v>
      </c>
      <c r="AK13" s="54">
        <f t="shared" si="14"/>
        <v>0.13217732615373323</v>
      </c>
      <c r="AL13" s="55">
        <f t="shared" si="15"/>
        <v>8.6434053180157927E-2</v>
      </c>
      <c r="AM13" s="179">
        <f t="shared" si="16"/>
        <v>2.0772564133495024E-2</v>
      </c>
      <c r="AN13" s="52">
        <f t="shared" si="17"/>
        <v>0</v>
      </c>
      <c r="AO13" s="74">
        <f t="shared" si="70"/>
        <v>0</v>
      </c>
      <c r="AP13" s="78">
        <v>0</v>
      </c>
      <c r="AQ13" s="87">
        <f t="shared" si="18"/>
        <v>0</v>
      </c>
      <c r="AR13" s="46">
        <f t="shared" si="19"/>
        <v>7.3930264597552631</v>
      </c>
      <c r="AS13" s="69">
        <f t="shared" si="20"/>
        <v>5.5447698448164474E-3</v>
      </c>
      <c r="AT13" s="42">
        <f t="shared" si="21"/>
        <v>9.6073627311281893</v>
      </c>
      <c r="AU13" s="79">
        <f t="shared" si="22"/>
        <v>7.2055220483461411E-3</v>
      </c>
      <c r="AV13" s="83">
        <f t="shared" si="71"/>
        <v>1.8627027274506082E-2</v>
      </c>
      <c r="AW13" s="84">
        <f t="shared" si="72"/>
        <v>3.3343619647041446E-2</v>
      </c>
      <c r="AX13" s="42">
        <f t="shared" si="23"/>
        <v>4.1058732612055629E-2</v>
      </c>
      <c r="AY13" s="43">
        <f t="shared" si="73"/>
        <v>2.4326403336507017E-2</v>
      </c>
      <c r="AZ13" s="85">
        <f t="shared" si="24"/>
        <v>4.1058732612055629E-2</v>
      </c>
      <c r="BA13" s="86">
        <f t="shared" si="74"/>
        <v>2.4326403336507017E-2</v>
      </c>
      <c r="BB13" s="85">
        <f t="shared" si="25"/>
        <v>0</v>
      </c>
      <c r="BC13" s="86">
        <f t="shared" si="75"/>
        <v>0</v>
      </c>
      <c r="BD13" s="85">
        <f t="shared" si="26"/>
        <v>0</v>
      </c>
      <c r="BE13" s="86">
        <f t="shared" si="76"/>
        <v>0</v>
      </c>
      <c r="BF13" s="85">
        <f t="shared" si="27"/>
        <v>0</v>
      </c>
      <c r="BG13" s="86">
        <f t="shared" si="77"/>
        <v>0</v>
      </c>
      <c r="BH13" s="85">
        <f t="shared" si="28"/>
        <v>0</v>
      </c>
      <c r="BI13" s="86">
        <f t="shared" si="78"/>
        <v>0</v>
      </c>
      <c r="BJ13" s="85">
        <f t="shared" si="29"/>
        <v>3.1673879443585777E-3</v>
      </c>
      <c r="BK13" s="207">
        <f t="shared" si="30"/>
        <v>2.3663066126543811E-3</v>
      </c>
      <c r="BL13" s="85">
        <f t="shared" si="79"/>
        <v>0.18827461337568577</v>
      </c>
      <c r="BM13" s="176">
        <f t="shared" si="80"/>
        <v>0.18827461337568577</v>
      </c>
      <c r="BN13" s="176">
        <f t="shared" si="81"/>
        <v>0.18827461337568577</v>
      </c>
      <c r="BO13" s="176">
        <f t="shared" si="82"/>
        <v>0.19381938322050221</v>
      </c>
      <c r="BP13" s="86">
        <f t="shared" si="83"/>
        <v>0.19548013542403192</v>
      </c>
      <c r="BQ13" s="211">
        <f t="shared" si="84"/>
        <v>1.2122452704683718E-2</v>
      </c>
      <c r="BR13" s="237">
        <f t="shared" si="31"/>
        <v>2.5000000000000001E-3</v>
      </c>
      <c r="BS13" s="237">
        <f t="shared" si="32"/>
        <v>2.5000000000000001E-3</v>
      </c>
      <c r="BT13" s="237">
        <f t="shared" si="33"/>
        <v>0</v>
      </c>
      <c r="BU13" s="237">
        <f t="shared" si="34"/>
        <v>0</v>
      </c>
      <c r="BV13" s="237">
        <f t="shared" si="35"/>
        <v>0</v>
      </c>
      <c r="BW13" s="237">
        <f t="shared" si="36"/>
        <v>0</v>
      </c>
      <c r="BX13" s="212">
        <f t="shared" si="37"/>
        <v>1.0000000000000002E-4</v>
      </c>
      <c r="BY13" s="238">
        <f t="shared" si="85"/>
        <v>1.7222452704683717E-2</v>
      </c>
      <c r="BZ13" s="244">
        <f t="shared" si="86"/>
        <v>8.6588947890597987E-4</v>
      </c>
      <c r="CA13" s="243">
        <f t="shared" si="38"/>
        <v>8.3410075471698111E-2</v>
      </c>
      <c r="CB13" s="243">
        <f t="shared" si="39"/>
        <v>0.23099999999999998</v>
      </c>
      <c r="CC13" s="238">
        <f t="shared" si="87"/>
        <v>0.31527596495060406</v>
      </c>
      <c r="CD13" s="244">
        <f t="shared" si="40"/>
        <v>0.15</v>
      </c>
      <c r="CE13" s="243">
        <f t="shared" si="41"/>
        <v>3.0000000000000002E-2</v>
      </c>
      <c r="CF13" s="243">
        <f t="shared" si="42"/>
        <v>0.15</v>
      </c>
      <c r="CG13" s="243">
        <f t="shared" si="43"/>
        <v>3.0000000000000002E-2</v>
      </c>
      <c r="CH13" s="243">
        <f t="shared" si="44"/>
        <v>0</v>
      </c>
      <c r="CI13" s="243">
        <f t="shared" si="45"/>
        <v>0</v>
      </c>
      <c r="CJ13" s="243">
        <f t="shared" si="46"/>
        <v>0</v>
      </c>
      <c r="CK13" s="243">
        <f t="shared" si="47"/>
        <v>0</v>
      </c>
      <c r="CL13" s="243">
        <f t="shared" si="48"/>
        <v>0</v>
      </c>
      <c r="CM13" s="243">
        <f t="shared" si="49"/>
        <v>0</v>
      </c>
      <c r="CN13" s="243">
        <f t="shared" si="50"/>
        <v>0</v>
      </c>
      <c r="CO13" s="243">
        <f t="shared" si="51"/>
        <v>0</v>
      </c>
      <c r="CP13" s="243">
        <f t="shared" si="52"/>
        <v>0.03</v>
      </c>
      <c r="CQ13" s="243">
        <f t="shared" si="53"/>
        <v>6.0000000000000005E-2</v>
      </c>
      <c r="CR13" s="238">
        <f t="shared" si="54"/>
        <v>0.39</v>
      </c>
      <c r="CS13" s="246">
        <f t="shared" si="55"/>
        <v>0.22166115110127718</v>
      </c>
      <c r="CT13" s="188">
        <f t="shared" si="88"/>
        <v>0.94415956875656493</v>
      </c>
      <c r="CU13" s="206">
        <f t="shared" si="56"/>
        <v>6.9441595687565645</v>
      </c>
      <c r="CV13" s="227">
        <f t="shared" si="57"/>
        <v>0.86403544454759307</v>
      </c>
      <c r="CW13">
        <f t="shared" si="58"/>
        <v>24.508964346349746</v>
      </c>
      <c r="CX13">
        <f t="shared" si="59"/>
        <v>81.554836204838125</v>
      </c>
      <c r="DA13" s="22">
        <v>10</v>
      </c>
      <c r="DB13" s="22">
        <f t="shared" si="89"/>
        <v>62.831853071795862</v>
      </c>
      <c r="DC13" s="260">
        <f t="shared" si="90"/>
        <v>23.930006598875664</v>
      </c>
      <c r="DD13" s="93">
        <f t="shared" si="91"/>
        <v>-0.5202844469767961</v>
      </c>
      <c r="DE13" s="260">
        <f t="shared" si="92"/>
        <v>25.513522112396455</v>
      </c>
      <c r="DF13" s="93">
        <f t="shared" si="93"/>
        <v>-0.51034269017383549</v>
      </c>
      <c r="DG13" s="257">
        <f t="shared" si="94"/>
        <v>30.705525449224957</v>
      </c>
      <c r="DH13" s="93">
        <f t="shared" si="95"/>
        <v>-0.63001931592115623</v>
      </c>
      <c r="DI13" s="91">
        <f t="shared" si="96"/>
        <v>16.075866950043526</v>
      </c>
      <c r="DJ13" s="257">
        <f t="shared" si="97"/>
        <v>91.122578975476259</v>
      </c>
      <c r="DK13" s="92">
        <f t="shared" si="98"/>
        <v>16.849148201026125</v>
      </c>
      <c r="DL13" s="93">
        <f t="shared" si="99"/>
        <v>91.164069796957165</v>
      </c>
      <c r="DM13" s="260">
        <f t="shared" si="100"/>
        <v>40.00587354891919</v>
      </c>
      <c r="DN13" s="270">
        <f t="shared" si="101"/>
        <v>90.602294528499456</v>
      </c>
      <c r="DO13" s="260">
        <f t="shared" si="102"/>
        <v>41.589389062439977</v>
      </c>
      <c r="DP13" s="267">
        <f t="shared" si="103"/>
        <v>90.61223628530243</v>
      </c>
      <c r="DQ13" s="257">
        <f t="shared" si="104"/>
        <v>46.781392399268483</v>
      </c>
      <c r="DR13" s="267">
        <f t="shared" si="105"/>
        <v>90.492559659555099</v>
      </c>
      <c r="DS13" s="260">
        <f t="shared" si="106"/>
        <v>40.779154799901789</v>
      </c>
      <c r="DT13" s="269">
        <f t="shared" si="107"/>
        <v>90.643785349980377</v>
      </c>
      <c r="DU13" s="260">
        <f t="shared" si="108"/>
        <v>42.362670313422583</v>
      </c>
      <c r="DV13" s="93">
        <f t="shared" si="109"/>
        <v>90.653727106783336</v>
      </c>
      <c r="DW13" s="257">
        <f t="shared" si="110"/>
        <v>47.554673650251083</v>
      </c>
      <c r="DX13" s="93">
        <f t="shared" si="111"/>
        <v>90.534050481036004</v>
      </c>
    </row>
    <row r="14" spans="1:128" ht="15.75" thickBot="1" x14ac:dyDescent="0.3">
      <c r="A14" s="12" t="s">
        <v>310</v>
      </c>
      <c r="B14" s="21">
        <f>IF(AND(Vout3&lt;&gt;0,n1_Flyback&lt;&gt;0,IoutPri_FBB=0),((ABS(Vout3)+Vdiode3)*(n1_Flyback/Np))/(ABS(Vout1)+Vdiode1),0)</f>
        <v>0</v>
      </c>
      <c r="C14" s="12"/>
      <c r="L14" s="58">
        <v>10</v>
      </c>
      <c r="M14" s="62">
        <f t="shared" si="0"/>
        <v>16.8</v>
      </c>
      <c r="N14" s="42">
        <f t="shared" si="1"/>
        <v>9.5379482239028084E-5</v>
      </c>
      <c r="O14" s="19">
        <f t="shared" si="2"/>
        <v>8.5841534015125313E-5</v>
      </c>
      <c r="P14" s="43">
        <f t="shared" si="3"/>
        <v>7.8037758195568447E-5</v>
      </c>
      <c r="Q14" s="60">
        <f t="shared" si="4"/>
        <v>0.34879435611245657</v>
      </c>
      <c r="R14" s="63">
        <f t="shared" si="5"/>
        <v>0.3968253968253968</v>
      </c>
      <c r="S14" s="28">
        <f t="shared" si="6"/>
        <v>1.1377058999700507</v>
      </c>
      <c r="T14" s="12">
        <f t="shared" si="7"/>
        <v>0.24114177706540213</v>
      </c>
      <c r="U14" s="12">
        <f t="shared" si="60"/>
        <v>1.2582767885027517</v>
      </c>
      <c r="V14" s="55">
        <f t="shared" si="8"/>
        <v>1.5671318602919453</v>
      </c>
      <c r="W14" s="54">
        <f t="shared" si="61"/>
        <v>0.67317217399688511</v>
      </c>
      <c r="X14" s="55">
        <f t="shared" si="62"/>
        <v>0.54377419971717944</v>
      </c>
      <c r="Y14" s="54">
        <f t="shared" si="9"/>
        <v>0.62609801857354486</v>
      </c>
      <c r="Z14" s="55">
        <f t="shared" si="63"/>
        <v>0.37682718699918527</v>
      </c>
      <c r="AA14" s="54">
        <f t="shared" si="10"/>
        <v>0.62609801857354486</v>
      </c>
      <c r="AB14" s="55">
        <f t="shared" si="64"/>
        <v>0.37682718699918527</v>
      </c>
      <c r="AC14" s="54">
        <f t="shared" si="11"/>
        <v>0</v>
      </c>
      <c r="AD14" s="55">
        <f t="shared" si="65"/>
        <v>0</v>
      </c>
      <c r="AE14" s="54">
        <f t="shared" si="12"/>
        <v>0</v>
      </c>
      <c r="AF14" s="55">
        <f t="shared" si="66"/>
        <v>0</v>
      </c>
      <c r="AG14" s="54">
        <f t="shared" si="13"/>
        <v>0</v>
      </c>
      <c r="AH14" s="55">
        <f t="shared" si="67"/>
        <v>0</v>
      </c>
      <c r="AI14" s="54">
        <f t="shared" si="68"/>
        <v>0</v>
      </c>
      <c r="AJ14" s="177">
        <f t="shared" si="69"/>
        <v>0</v>
      </c>
      <c r="AK14" s="54">
        <f t="shared" si="14"/>
        <v>0.13155275055965049</v>
      </c>
      <c r="AL14" s="55">
        <f t="shared" si="15"/>
        <v>8.5475880690459236E-2</v>
      </c>
      <c r="AM14" s="179">
        <f t="shared" si="16"/>
        <v>2.1125334136164364E-2</v>
      </c>
      <c r="AN14" s="52">
        <f t="shared" si="17"/>
        <v>0</v>
      </c>
      <c r="AO14" s="74">
        <f t="shared" si="70"/>
        <v>0</v>
      </c>
      <c r="AP14" s="78">
        <v>0</v>
      </c>
      <c r="AQ14" s="87">
        <f t="shared" si="18"/>
        <v>0</v>
      </c>
      <c r="AR14" s="46">
        <f t="shared" si="19"/>
        <v>7.7317199121939675</v>
      </c>
      <c r="AS14" s="69">
        <f t="shared" si="20"/>
        <v>5.7987899341454758E-3</v>
      </c>
      <c r="AT14" s="42">
        <f t="shared" si="21"/>
        <v>10.013717720508641</v>
      </c>
      <c r="AU14" s="79">
        <f t="shared" si="22"/>
        <v>7.5102882903814805E-3</v>
      </c>
      <c r="AV14" s="83">
        <f t="shared" si="71"/>
        <v>1.6937527389952346E-2</v>
      </c>
      <c r="AW14" s="84">
        <f t="shared" si="72"/>
        <v>3.180447916521302E-2</v>
      </c>
      <c r="AX14" s="42">
        <f t="shared" si="23"/>
        <v>4.1058732612055629E-2</v>
      </c>
      <c r="AY14" s="43">
        <f t="shared" si="73"/>
        <v>2.3321151358340418E-2</v>
      </c>
      <c r="AZ14" s="85">
        <f t="shared" si="24"/>
        <v>4.1058732612055629E-2</v>
      </c>
      <c r="BA14" s="86">
        <f t="shared" si="74"/>
        <v>2.3321151358340418E-2</v>
      </c>
      <c r="BB14" s="85">
        <f t="shared" si="25"/>
        <v>0</v>
      </c>
      <c r="BC14" s="86">
        <f t="shared" si="75"/>
        <v>0</v>
      </c>
      <c r="BD14" s="85">
        <f t="shared" si="26"/>
        <v>0</v>
      </c>
      <c r="BE14" s="86">
        <f t="shared" si="76"/>
        <v>0</v>
      </c>
      <c r="BF14" s="85">
        <f t="shared" si="27"/>
        <v>0</v>
      </c>
      <c r="BG14" s="86">
        <f t="shared" si="77"/>
        <v>0</v>
      </c>
      <c r="BH14" s="85">
        <f t="shared" si="28"/>
        <v>0</v>
      </c>
      <c r="BI14" s="86">
        <f t="shared" si="78"/>
        <v>0</v>
      </c>
      <c r="BJ14" s="85">
        <f t="shared" si="29"/>
        <v>3.1673879443585777E-3</v>
      </c>
      <c r="BK14" s="207">
        <f t="shared" si="30"/>
        <v>2.3141335981891583E-3</v>
      </c>
      <c r="BL14" s="85">
        <f t="shared" si="79"/>
        <v>0.18298329603850522</v>
      </c>
      <c r="BM14" s="176">
        <f t="shared" si="80"/>
        <v>0.18298329603850522</v>
      </c>
      <c r="BN14" s="176">
        <f t="shared" si="81"/>
        <v>0.18298329603850522</v>
      </c>
      <c r="BO14" s="176">
        <f t="shared" si="82"/>
        <v>0.1887820859726507</v>
      </c>
      <c r="BP14" s="86">
        <f t="shared" si="83"/>
        <v>0.19049358432888669</v>
      </c>
      <c r="BQ14" s="211">
        <f t="shared" si="84"/>
        <v>1.1022927689594356E-2</v>
      </c>
      <c r="BR14" s="237">
        <f t="shared" si="31"/>
        <v>2.5000000000000001E-3</v>
      </c>
      <c r="BS14" s="237">
        <f t="shared" si="32"/>
        <v>2.5000000000000001E-3</v>
      </c>
      <c r="BT14" s="237">
        <f t="shared" si="33"/>
        <v>0</v>
      </c>
      <c r="BU14" s="237">
        <f t="shared" si="34"/>
        <v>0</v>
      </c>
      <c r="BV14" s="237">
        <f t="shared" si="35"/>
        <v>0</v>
      </c>
      <c r="BW14" s="237">
        <f t="shared" si="36"/>
        <v>0</v>
      </c>
      <c r="BX14" s="212">
        <f t="shared" si="37"/>
        <v>1.0000000000000002E-4</v>
      </c>
      <c r="BY14" s="238">
        <f t="shared" si="85"/>
        <v>1.6122927689594356E-2</v>
      </c>
      <c r="BZ14" s="244">
        <f t="shared" si="86"/>
        <v>7.873519778281682E-4</v>
      </c>
      <c r="CA14" s="243">
        <f t="shared" si="38"/>
        <v>8.6010566037735839E-2</v>
      </c>
      <c r="CB14" s="243">
        <f t="shared" si="39"/>
        <v>0.23099999999999998</v>
      </c>
      <c r="CC14" s="238">
        <f t="shared" si="87"/>
        <v>0.31779791801556401</v>
      </c>
      <c r="CD14" s="244">
        <f t="shared" si="40"/>
        <v>0.15</v>
      </c>
      <c r="CE14" s="243">
        <f t="shared" si="41"/>
        <v>3.0000000000000002E-2</v>
      </c>
      <c r="CF14" s="243">
        <f t="shared" si="42"/>
        <v>0.15</v>
      </c>
      <c r="CG14" s="243">
        <f t="shared" si="43"/>
        <v>3.0000000000000002E-2</v>
      </c>
      <c r="CH14" s="243">
        <f t="shared" si="44"/>
        <v>0</v>
      </c>
      <c r="CI14" s="243">
        <f t="shared" si="45"/>
        <v>0</v>
      </c>
      <c r="CJ14" s="243">
        <f t="shared" si="46"/>
        <v>0</v>
      </c>
      <c r="CK14" s="243">
        <f t="shared" si="47"/>
        <v>0</v>
      </c>
      <c r="CL14" s="243">
        <f t="shared" si="48"/>
        <v>0</v>
      </c>
      <c r="CM14" s="243">
        <f t="shared" si="49"/>
        <v>0</v>
      </c>
      <c r="CN14" s="243">
        <f t="shared" si="50"/>
        <v>0</v>
      </c>
      <c r="CO14" s="243">
        <f t="shared" si="51"/>
        <v>0</v>
      </c>
      <c r="CP14" s="243">
        <f t="shared" si="52"/>
        <v>0.03</v>
      </c>
      <c r="CQ14" s="243">
        <f t="shared" si="53"/>
        <v>6.0000000000000005E-2</v>
      </c>
      <c r="CR14" s="238">
        <f t="shared" si="54"/>
        <v>0.39</v>
      </c>
      <c r="CS14" s="246">
        <f t="shared" si="55"/>
        <v>0.21550129710148616</v>
      </c>
      <c r="CT14" s="188">
        <f t="shared" si="88"/>
        <v>0.93942214280664449</v>
      </c>
      <c r="CU14" s="206">
        <f t="shared" si="56"/>
        <v>6.9394221428066443</v>
      </c>
      <c r="CV14" s="227">
        <f t="shared" si="57"/>
        <v>0.86462530690967654</v>
      </c>
      <c r="CW14">
        <f t="shared" si="58"/>
        <v>25.288964346349747</v>
      </c>
      <c r="CX14">
        <f t="shared" si="59"/>
        <v>81.560813018395308</v>
      </c>
      <c r="DA14" s="22">
        <v>20</v>
      </c>
      <c r="DB14" s="22">
        <f t="shared" si="89"/>
        <v>125.66370614359172</v>
      </c>
      <c r="DC14" s="260">
        <f t="shared" si="90"/>
        <v>23.92909225831534</v>
      </c>
      <c r="DD14" s="93">
        <f t="shared" si="91"/>
        <v>-1.0405015150593779</v>
      </c>
      <c r="DE14" s="260">
        <f t="shared" si="92"/>
        <v>25.512607296287271</v>
      </c>
      <c r="DF14" s="93">
        <f t="shared" si="93"/>
        <v>-1.0206180070295692</v>
      </c>
      <c r="DG14" s="257">
        <f t="shared" si="94"/>
        <v>30.703991125080343</v>
      </c>
      <c r="DH14" s="93">
        <f t="shared" si="95"/>
        <v>-1.259892195037124</v>
      </c>
      <c r="DI14" s="91">
        <f t="shared" si="96"/>
        <v>10.060477318587804</v>
      </c>
      <c r="DJ14" s="257">
        <f t="shared" si="97"/>
        <v>92.244240685243639</v>
      </c>
      <c r="DK14" s="92">
        <f t="shared" si="98"/>
        <v>10.834141390194752</v>
      </c>
      <c r="DL14" s="93">
        <f t="shared" si="99"/>
        <v>92.327119428022698</v>
      </c>
      <c r="DM14" s="260">
        <f t="shared" si="100"/>
        <v>33.989569576903143</v>
      </c>
      <c r="DN14" s="270">
        <f t="shared" si="101"/>
        <v>91.203739170184264</v>
      </c>
      <c r="DO14" s="260">
        <f t="shared" si="102"/>
        <v>35.573084614875071</v>
      </c>
      <c r="DP14" s="267">
        <f t="shared" si="103"/>
        <v>91.22362267821407</v>
      </c>
      <c r="DQ14" s="257">
        <f t="shared" si="104"/>
        <v>40.76446844366815</v>
      </c>
      <c r="DR14" s="267">
        <f t="shared" si="105"/>
        <v>90.984348490206514</v>
      </c>
      <c r="DS14" s="260">
        <f t="shared" si="106"/>
        <v>34.763233648510095</v>
      </c>
      <c r="DT14" s="269">
        <f t="shared" si="107"/>
        <v>91.286617912963322</v>
      </c>
      <c r="DU14" s="260">
        <f t="shared" si="108"/>
        <v>36.346748686482023</v>
      </c>
      <c r="DV14" s="93">
        <f t="shared" si="109"/>
        <v>91.306501420993129</v>
      </c>
      <c r="DW14" s="257">
        <f t="shared" si="110"/>
        <v>41.538132515275095</v>
      </c>
      <c r="DX14" s="93">
        <f t="shared" si="111"/>
        <v>91.067227232985573</v>
      </c>
    </row>
    <row r="15" spans="1:128" ht="15.75" thickBot="1" x14ac:dyDescent="0.3">
      <c r="A15" s="12" t="s">
        <v>311</v>
      </c>
      <c r="B15" s="12">
        <f>IF(n3_Flyback_Calc&lt;&gt;0,n3_Flyback/Np,0)</f>
        <v>0</v>
      </c>
      <c r="C15" s="12"/>
      <c r="E15" t="s">
        <v>25</v>
      </c>
      <c r="L15" s="58">
        <v>11</v>
      </c>
      <c r="M15" s="62">
        <f t="shared" si="0"/>
        <v>17.579999999999998</v>
      </c>
      <c r="N15" s="42">
        <f t="shared" si="1"/>
        <v>9.8401545573717478E-5</v>
      </c>
      <c r="O15" s="19">
        <f t="shared" si="2"/>
        <v>8.8561391016345734E-5</v>
      </c>
      <c r="P15" s="43">
        <f t="shared" si="3"/>
        <v>8.05103554694052E-5</v>
      </c>
      <c r="Q15" s="60">
        <f t="shared" si="4"/>
        <v>0.33855820198765607</v>
      </c>
      <c r="R15" s="63">
        <f t="shared" si="5"/>
        <v>0.37921880925293899</v>
      </c>
      <c r="S15" s="28">
        <f t="shared" si="6"/>
        <v>1.1200993123975929</v>
      </c>
      <c r="T15" s="12">
        <f t="shared" si="7"/>
        <v>0.24493223007995857</v>
      </c>
      <c r="U15" s="12">
        <f t="shared" si="60"/>
        <v>1.2425654274375721</v>
      </c>
      <c r="V15" s="55">
        <f t="shared" si="8"/>
        <v>1.5410990385190333</v>
      </c>
      <c r="W15" s="54">
        <f t="shared" si="61"/>
        <v>0.65303544090578269</v>
      </c>
      <c r="X15" s="55">
        <f t="shared" si="62"/>
        <v>0.5316468581566085</v>
      </c>
      <c r="Y15" s="54">
        <f t="shared" si="9"/>
        <v>0.62164733485704049</v>
      </c>
      <c r="Z15" s="55">
        <f t="shared" si="63"/>
        <v>0.3693851769289902</v>
      </c>
      <c r="AA15" s="54">
        <f t="shared" si="10"/>
        <v>0.62164733485704049</v>
      </c>
      <c r="AB15" s="55">
        <f t="shared" si="64"/>
        <v>0.3693851769289902</v>
      </c>
      <c r="AC15" s="54">
        <f t="shared" si="11"/>
        <v>0</v>
      </c>
      <c r="AD15" s="55">
        <f t="shared" si="65"/>
        <v>0</v>
      </c>
      <c r="AE15" s="54">
        <f t="shared" si="12"/>
        <v>0</v>
      </c>
      <c r="AF15" s="55">
        <f t="shared" si="66"/>
        <v>0</v>
      </c>
      <c r="AG15" s="54">
        <f t="shared" si="13"/>
        <v>0</v>
      </c>
      <c r="AH15" s="55">
        <f t="shared" si="67"/>
        <v>0</v>
      </c>
      <c r="AI15" s="54">
        <f t="shared" si="68"/>
        <v>0</v>
      </c>
      <c r="AJ15" s="177">
        <f t="shared" si="69"/>
        <v>0</v>
      </c>
      <c r="AK15" s="54">
        <f t="shared" si="14"/>
        <v>0.13100339541770972</v>
      </c>
      <c r="AL15" s="55">
        <f t="shared" si="15"/>
        <v>8.4627948167073086E-2</v>
      </c>
      <c r="AM15" s="179">
        <f t="shared" si="16"/>
        <v>2.1457398482021026E-2</v>
      </c>
      <c r="AN15" s="52">
        <f t="shared" si="17"/>
        <v>0</v>
      </c>
      <c r="AO15" s="74">
        <f t="shared" si="70"/>
        <v>0</v>
      </c>
      <c r="AP15" s="78">
        <v>0</v>
      </c>
      <c r="AQ15" s="87">
        <f t="shared" si="18"/>
        <v>0</v>
      </c>
      <c r="AR15" s="46">
        <f t="shared" si="19"/>
        <v>8.0592303467414226</v>
      </c>
      <c r="AS15" s="69">
        <f t="shared" si="20"/>
        <v>6.0444227600560665E-3</v>
      </c>
      <c r="AT15" s="42">
        <f t="shared" si="21"/>
        <v>10.405383824775324</v>
      </c>
      <c r="AU15" s="79">
        <f t="shared" si="22"/>
        <v>7.804037868581493E-3</v>
      </c>
      <c r="AV15" s="83">
        <f t="shared" si="71"/>
        <v>1.5467881365796507E-2</v>
      </c>
      <c r="AW15" s="84">
        <f t="shared" si="72"/>
        <v>3.0401680843311775E-2</v>
      </c>
      <c r="AX15" s="42">
        <f t="shared" si="23"/>
        <v>4.1058732612055629E-2</v>
      </c>
      <c r="AY15" s="43">
        <f t="shared" si="73"/>
        <v>2.240910224639624E-2</v>
      </c>
      <c r="AZ15" s="85">
        <f t="shared" si="24"/>
        <v>4.1058732612055629E-2</v>
      </c>
      <c r="BA15" s="86">
        <f t="shared" si="74"/>
        <v>2.240910224639624E-2</v>
      </c>
      <c r="BB15" s="85">
        <f t="shared" si="25"/>
        <v>0</v>
      </c>
      <c r="BC15" s="86">
        <f t="shared" si="75"/>
        <v>0</v>
      </c>
      <c r="BD15" s="85">
        <f t="shared" si="26"/>
        <v>0</v>
      </c>
      <c r="BE15" s="86">
        <f t="shared" si="76"/>
        <v>0</v>
      </c>
      <c r="BF15" s="85">
        <f t="shared" si="27"/>
        <v>0</v>
      </c>
      <c r="BG15" s="86">
        <f t="shared" si="77"/>
        <v>0</v>
      </c>
      <c r="BH15" s="85">
        <f t="shared" si="28"/>
        <v>0</v>
      </c>
      <c r="BI15" s="86">
        <f t="shared" si="78"/>
        <v>0</v>
      </c>
      <c r="BJ15" s="85">
        <f t="shared" si="29"/>
        <v>3.1673879443585777E-3</v>
      </c>
      <c r="BK15" s="207">
        <f t="shared" si="30"/>
        <v>2.2684482812609548E-3</v>
      </c>
      <c r="BL15" s="85">
        <f t="shared" si="79"/>
        <v>0.17824106815163157</v>
      </c>
      <c r="BM15" s="176">
        <f t="shared" si="80"/>
        <v>0.17824106815163157</v>
      </c>
      <c r="BN15" s="176">
        <f t="shared" si="81"/>
        <v>0.17824106815163157</v>
      </c>
      <c r="BO15" s="176">
        <f t="shared" si="82"/>
        <v>0.18428549091168764</v>
      </c>
      <c r="BP15" s="86">
        <f t="shared" si="83"/>
        <v>0.18604510602021307</v>
      </c>
      <c r="BQ15" s="211">
        <f t="shared" si="84"/>
        <v>1.0066483370385185E-2</v>
      </c>
      <c r="BR15" s="237">
        <f t="shared" si="31"/>
        <v>2.5000000000000001E-3</v>
      </c>
      <c r="BS15" s="237">
        <f t="shared" si="32"/>
        <v>2.5000000000000001E-3</v>
      </c>
      <c r="BT15" s="237">
        <f t="shared" si="33"/>
        <v>0</v>
      </c>
      <c r="BU15" s="237">
        <f t="shared" si="34"/>
        <v>0</v>
      </c>
      <c r="BV15" s="237">
        <f t="shared" si="35"/>
        <v>0</v>
      </c>
      <c r="BW15" s="237">
        <f t="shared" si="36"/>
        <v>0</v>
      </c>
      <c r="BX15" s="212">
        <f t="shared" si="37"/>
        <v>1.0000000000000002E-4</v>
      </c>
      <c r="BY15" s="238">
        <f t="shared" si="85"/>
        <v>1.5166483370385186E-2</v>
      </c>
      <c r="BZ15" s="244">
        <f t="shared" si="86"/>
        <v>7.1903452645608469E-4</v>
      </c>
      <c r="CA15" s="243">
        <f t="shared" si="38"/>
        <v>8.8611056603773594E-2</v>
      </c>
      <c r="CB15" s="243">
        <f t="shared" si="39"/>
        <v>0.23099999999999998</v>
      </c>
      <c r="CC15" s="238">
        <f t="shared" si="87"/>
        <v>0.32033009113022964</v>
      </c>
      <c r="CD15" s="244">
        <f t="shared" si="40"/>
        <v>0.15</v>
      </c>
      <c r="CE15" s="243">
        <f t="shared" si="41"/>
        <v>3.0000000000000002E-2</v>
      </c>
      <c r="CF15" s="243">
        <f t="shared" si="42"/>
        <v>0.15</v>
      </c>
      <c r="CG15" s="243">
        <f t="shared" si="43"/>
        <v>3.0000000000000002E-2</v>
      </c>
      <c r="CH15" s="243">
        <f t="shared" si="44"/>
        <v>0</v>
      </c>
      <c r="CI15" s="243">
        <f t="shared" si="45"/>
        <v>0</v>
      </c>
      <c r="CJ15" s="243">
        <f t="shared" si="46"/>
        <v>0</v>
      </c>
      <c r="CK15" s="243">
        <f t="shared" si="47"/>
        <v>0</v>
      </c>
      <c r="CL15" s="243">
        <f t="shared" si="48"/>
        <v>0</v>
      </c>
      <c r="CM15" s="243">
        <f t="shared" si="49"/>
        <v>0</v>
      </c>
      <c r="CN15" s="243">
        <f t="shared" si="50"/>
        <v>0</v>
      </c>
      <c r="CO15" s="243">
        <f t="shared" si="51"/>
        <v>0</v>
      </c>
      <c r="CP15" s="243">
        <f t="shared" si="52"/>
        <v>0.03</v>
      </c>
      <c r="CQ15" s="243">
        <f t="shared" si="53"/>
        <v>6.0000000000000005E-2</v>
      </c>
      <c r="CR15" s="238">
        <f t="shared" si="54"/>
        <v>0.39</v>
      </c>
      <c r="CS15" s="246">
        <f t="shared" si="55"/>
        <v>0.20996924697421157</v>
      </c>
      <c r="CT15" s="188">
        <f t="shared" si="88"/>
        <v>0.93546582147482638</v>
      </c>
      <c r="CU15" s="206">
        <f t="shared" si="56"/>
        <v>6.9354658214748266</v>
      </c>
      <c r="CV15" s="227">
        <f t="shared" si="57"/>
        <v>0.86511853052778798</v>
      </c>
      <c r="CW15">
        <f t="shared" si="58"/>
        <v>26.068964346349745</v>
      </c>
      <c r="CX15">
        <f t="shared" si="59"/>
        <v>81.638179591179608</v>
      </c>
      <c r="DA15" s="22">
        <v>30</v>
      </c>
      <c r="DB15" s="22">
        <f t="shared" si="89"/>
        <v>188.49555921538757</v>
      </c>
      <c r="DC15" s="260">
        <f t="shared" si="90"/>
        <v>23.927568785002357</v>
      </c>
      <c r="DD15" s="93">
        <f t="shared" ref="DD15:DD59" si="112">IMARGUMENT(IMDIV(IMPRODUCT(COMPLEX(1,-DB15/$B$120),COMPLEX(1,DB15/$B$119)),IMPRODUCT(COMPLEX(1,DB15/$B$113),COMPLEX(1,DB15/$B$116))))*(180/PI())</f>
        <v>-1.5605838820675557</v>
      </c>
      <c r="DE15" s="260">
        <f t="shared" ref="DE15:DE59" si="113">20*LOG($B$124*IMABS(IMDIV(IMPRODUCT(COMPLEX(1,-DB15/$B$121),COMPLEX(1,DB15/$B$119)),IMPRODUCT(COMPLEX(1,DB15/$B$113),COMPLEX(1,DB15/$B$117)))))</f>
        <v>25.511083030393298</v>
      </c>
      <c r="DF15" s="93">
        <f t="shared" ref="DF15:DF59" si="114">IMARGUMENT(IMDIV(IMPRODUCT(COMPLEX(1,-DB15/$B$121),COMPLEX(1,DB15/$B$119)),IMPRODUCT(COMPLEX(1,DB15/$B$113),COMPLEX(1,DB15/$B$117))))*(180/PI())</f>
        <v>-1.5307586339631225</v>
      </c>
      <c r="DG15" s="257">
        <f t="shared" ref="DG15:DG59" si="115">20*LOG($B$125*IMABS(IMDIV(IMPRODUCT(COMPLEX(1,-DB15/$B$122),COMPLEX(1,DB15/$B$119)),IMPRODUCT(COMPLEX(1,DB15/$B$115),COMPLEX(1,DB15/$B$118)))))</f>
        <v>30.701435121926899</v>
      </c>
      <c r="DH15" s="93">
        <f t="shared" ref="DH15:DH59" si="116">IMARGUMENT(IMDIV(IMPRODUCT(COMPLEX(1,-DB15/$B$122),COMPLEX(1,DB15/$B$119)),IMPRODUCT(COMPLEX(1,DB15/$B$115),COMPLEX(1,DB15/$B$118))))*(180/PI())</f>
        <v>-1.8894724073536537</v>
      </c>
      <c r="DI15" s="91">
        <f t="shared" si="96"/>
        <v>6.5473220617681696</v>
      </c>
      <c r="DJ15" s="257">
        <f t="shared" si="97"/>
        <v>93.364072259448179</v>
      </c>
      <c r="DK15" s="92">
        <f t="shared" si="98"/>
        <v>7.3216220564668486</v>
      </c>
      <c r="DL15" s="93">
        <f t="shared" si="99"/>
        <v>93.488133974634337</v>
      </c>
      <c r="DM15" s="260">
        <f t="shared" si="100"/>
        <v>30.474890846770528</v>
      </c>
      <c r="DN15" s="270">
        <f t="shared" si="101"/>
        <v>91.803488377380631</v>
      </c>
      <c r="DO15" s="260">
        <f t="shared" si="102"/>
        <v>32.058405092161465</v>
      </c>
      <c r="DP15" s="267">
        <f t="shared" si="103"/>
        <v>91.833313625485061</v>
      </c>
      <c r="DQ15" s="257">
        <f t="shared" si="104"/>
        <v>37.248757183695069</v>
      </c>
      <c r="DR15" s="267">
        <f t="shared" si="105"/>
        <v>91.474599852094528</v>
      </c>
      <c r="DS15" s="260">
        <f t="shared" si="106"/>
        <v>31.249190841469208</v>
      </c>
      <c r="DT15" s="269">
        <f t="shared" si="107"/>
        <v>91.92755009256679</v>
      </c>
      <c r="DU15" s="260">
        <f t="shared" si="108"/>
        <v>32.832705086860145</v>
      </c>
      <c r="DV15" s="93">
        <f t="shared" si="109"/>
        <v>91.95737534067122</v>
      </c>
      <c r="DW15" s="257">
        <f t="shared" si="110"/>
        <v>38.023057178393749</v>
      </c>
      <c r="DX15" s="93">
        <f t="shared" si="111"/>
        <v>91.598661567280686</v>
      </c>
    </row>
    <row r="16" spans="1:128" ht="15.75" thickBot="1" x14ac:dyDescent="0.3">
      <c r="A16" s="12" t="s">
        <v>312</v>
      </c>
      <c r="B16" s="21">
        <f>IF(AND(Vout4&lt;&gt;0,n1_Flyback&lt;&gt;0,IoutPri_FBB=0),((ABS(Vout4)+Vdiode4)*(n1_Flyback/Np))/(ABS(Vout1)+Vdiode1),0)</f>
        <v>0</v>
      </c>
      <c r="C16" s="12"/>
      <c r="F16" t="s">
        <v>61</v>
      </c>
      <c r="G16" t="s">
        <v>49</v>
      </c>
      <c r="H16" t="s">
        <v>62</v>
      </c>
      <c r="L16" s="58">
        <v>12</v>
      </c>
      <c r="M16" s="62">
        <f t="shared" si="0"/>
        <v>18.36</v>
      </c>
      <c r="N16" s="42">
        <f t="shared" si="1"/>
        <v>1.0129446556970179E-4</v>
      </c>
      <c r="O16" s="19">
        <f t="shared" si="2"/>
        <v>9.1165019012731614E-5</v>
      </c>
      <c r="P16" s="43">
        <f t="shared" si="3"/>
        <v>8.2877290011574203E-5</v>
      </c>
      <c r="Q16" s="60">
        <f t="shared" si="4"/>
        <v>0.32890572444898986</v>
      </c>
      <c r="R16" s="63">
        <f t="shared" si="5"/>
        <v>0.36310820624546114</v>
      </c>
      <c r="S16" s="28">
        <f t="shared" si="6"/>
        <v>1.1039887093901151</v>
      </c>
      <c r="T16" s="12">
        <f t="shared" si="7"/>
        <v>0.24850654736145902</v>
      </c>
      <c r="U16" s="12">
        <f t="shared" si="60"/>
        <v>1.2282419830708446</v>
      </c>
      <c r="V16" s="55">
        <f t="shared" si="8"/>
        <v>1.5171542588412124</v>
      </c>
      <c r="W16" s="54">
        <f t="shared" si="61"/>
        <v>0.63447616573249355</v>
      </c>
      <c r="X16" s="55">
        <f t="shared" si="62"/>
        <v>0.52030033196204117</v>
      </c>
      <c r="Y16" s="54">
        <f t="shared" si="9"/>
        <v>0.61756452345258939</v>
      </c>
      <c r="Z16" s="55">
        <f t="shared" si="63"/>
        <v>0.36247198598957109</v>
      </c>
      <c r="AA16" s="54">
        <f t="shared" si="10"/>
        <v>0.61756452345258939</v>
      </c>
      <c r="AB16" s="55">
        <f t="shared" si="64"/>
        <v>0.36247198598957109</v>
      </c>
      <c r="AC16" s="54">
        <f t="shared" si="11"/>
        <v>0</v>
      </c>
      <c r="AD16" s="55">
        <f t="shared" si="65"/>
        <v>0</v>
      </c>
      <c r="AE16" s="54">
        <f t="shared" si="12"/>
        <v>0</v>
      </c>
      <c r="AF16" s="55">
        <f t="shared" si="66"/>
        <v>0</v>
      </c>
      <c r="AG16" s="54">
        <f t="shared" si="13"/>
        <v>0</v>
      </c>
      <c r="AH16" s="55">
        <f t="shared" si="67"/>
        <v>0</v>
      </c>
      <c r="AI16" s="54">
        <f t="shared" si="68"/>
        <v>0</v>
      </c>
      <c r="AJ16" s="177">
        <f t="shared" si="69"/>
        <v>0</v>
      </c>
      <c r="AK16" s="54">
        <f t="shared" si="14"/>
        <v>0.13051899451771951</v>
      </c>
      <c r="AL16" s="55">
        <f t="shared" si="15"/>
        <v>8.3876146370207613E-2</v>
      </c>
      <c r="AM16" s="179">
        <f t="shared" si="16"/>
        <v>2.1770528159504844E-2</v>
      </c>
      <c r="AN16" s="52">
        <f t="shared" si="17"/>
        <v>0</v>
      </c>
      <c r="AO16" s="74">
        <f t="shared" si="70"/>
        <v>0</v>
      </c>
      <c r="AP16" s="78">
        <v>0</v>
      </c>
      <c r="AQ16" s="87">
        <f t="shared" si="18"/>
        <v>0</v>
      </c>
      <c r="AR16" s="46">
        <f t="shared" si="19"/>
        <v>8.375871764302941</v>
      </c>
      <c r="AS16" s="69">
        <f t="shared" si="20"/>
        <v>6.2819038232272053E-3</v>
      </c>
      <c r="AT16" s="42">
        <f t="shared" si="21"/>
        <v>10.782914850876717</v>
      </c>
      <c r="AU16" s="79">
        <f t="shared" si="22"/>
        <v>8.0871861381575372E-3</v>
      </c>
      <c r="AV16" s="83">
        <f t="shared" si="71"/>
        <v>1.4181534317701142E-2</v>
      </c>
      <c r="AW16" s="84">
        <f t="shared" si="72"/>
        <v>2.9117849571612852E-2</v>
      </c>
      <c r="AX16" s="42">
        <f t="shared" si="23"/>
        <v>4.1058732612055629E-2</v>
      </c>
      <c r="AY16" s="43">
        <f t="shared" si="73"/>
        <v>2.1578160820786396E-2</v>
      </c>
      <c r="AZ16" s="85">
        <f t="shared" si="24"/>
        <v>4.1058732612055629E-2</v>
      </c>
      <c r="BA16" s="86">
        <f t="shared" si="74"/>
        <v>2.1578160820786396E-2</v>
      </c>
      <c r="BB16" s="85">
        <f t="shared" si="25"/>
        <v>0</v>
      </c>
      <c r="BC16" s="86">
        <f t="shared" si="75"/>
        <v>0</v>
      </c>
      <c r="BD16" s="85">
        <f t="shared" si="26"/>
        <v>0</v>
      </c>
      <c r="BE16" s="86">
        <f t="shared" si="76"/>
        <v>0</v>
      </c>
      <c r="BF16" s="85">
        <f t="shared" si="27"/>
        <v>0</v>
      </c>
      <c r="BG16" s="86">
        <f t="shared" si="77"/>
        <v>0</v>
      </c>
      <c r="BH16" s="85">
        <f t="shared" si="28"/>
        <v>0</v>
      </c>
      <c r="BI16" s="86">
        <f t="shared" si="78"/>
        <v>0</v>
      </c>
      <c r="BJ16" s="85">
        <f t="shared" si="29"/>
        <v>3.1673879443585777E-3</v>
      </c>
      <c r="BK16" s="207">
        <f t="shared" si="30"/>
        <v>2.2283232783273359E-3</v>
      </c>
      <c r="BL16" s="85">
        <f t="shared" si="79"/>
        <v>0.17396888197768398</v>
      </c>
      <c r="BM16" s="176">
        <f t="shared" si="80"/>
        <v>0.17396888197768398</v>
      </c>
      <c r="BN16" s="176">
        <f t="shared" si="81"/>
        <v>0.17396888197768398</v>
      </c>
      <c r="BO16" s="176">
        <f t="shared" si="82"/>
        <v>0.1802507858009112</v>
      </c>
      <c r="BP16" s="86">
        <f t="shared" si="83"/>
        <v>0.18205606811584152</v>
      </c>
      <c r="BQ16" s="211">
        <f t="shared" si="84"/>
        <v>9.2293298609957448E-3</v>
      </c>
      <c r="BR16" s="237">
        <f t="shared" si="31"/>
        <v>2.5000000000000001E-3</v>
      </c>
      <c r="BS16" s="237">
        <f t="shared" si="32"/>
        <v>2.5000000000000001E-3</v>
      </c>
      <c r="BT16" s="237">
        <f t="shared" si="33"/>
        <v>0</v>
      </c>
      <c r="BU16" s="237">
        <f t="shared" si="34"/>
        <v>0</v>
      </c>
      <c r="BV16" s="237">
        <f t="shared" si="35"/>
        <v>0</v>
      </c>
      <c r="BW16" s="237">
        <f t="shared" si="36"/>
        <v>0</v>
      </c>
      <c r="BX16" s="212">
        <f t="shared" si="37"/>
        <v>1.0000000000000002E-4</v>
      </c>
      <c r="BY16" s="238">
        <f t="shared" si="85"/>
        <v>1.4329329860995745E-2</v>
      </c>
      <c r="BZ16" s="244">
        <f t="shared" si="86"/>
        <v>6.5923784721398182E-4</v>
      </c>
      <c r="CA16" s="243">
        <f t="shared" si="38"/>
        <v>9.1211547169811322E-2</v>
      </c>
      <c r="CB16" s="243">
        <f t="shared" si="39"/>
        <v>0.23099999999999998</v>
      </c>
      <c r="CC16" s="238">
        <f t="shared" si="87"/>
        <v>0.32287078501702526</v>
      </c>
      <c r="CD16" s="244">
        <f t="shared" si="40"/>
        <v>0.15</v>
      </c>
      <c r="CE16" s="243">
        <f t="shared" si="41"/>
        <v>3.0000000000000002E-2</v>
      </c>
      <c r="CF16" s="243">
        <f t="shared" si="42"/>
        <v>0.15</v>
      </c>
      <c r="CG16" s="243">
        <f t="shared" si="43"/>
        <v>3.0000000000000002E-2</v>
      </c>
      <c r="CH16" s="243">
        <f t="shared" si="44"/>
        <v>0</v>
      </c>
      <c r="CI16" s="243">
        <f t="shared" si="45"/>
        <v>0</v>
      </c>
      <c r="CJ16" s="243">
        <f t="shared" si="46"/>
        <v>0</v>
      </c>
      <c r="CK16" s="243">
        <f t="shared" si="47"/>
        <v>0</v>
      </c>
      <c r="CL16" s="243">
        <f t="shared" si="48"/>
        <v>0</v>
      </c>
      <c r="CM16" s="243">
        <f t="shared" si="49"/>
        <v>0</v>
      </c>
      <c r="CN16" s="243">
        <f t="shared" si="50"/>
        <v>0</v>
      </c>
      <c r="CO16" s="243">
        <f t="shared" si="51"/>
        <v>0</v>
      </c>
      <c r="CP16" s="243">
        <f t="shared" si="52"/>
        <v>0.03</v>
      </c>
      <c r="CQ16" s="243">
        <f t="shared" si="53"/>
        <v>6.0000000000000005E-2</v>
      </c>
      <c r="CR16" s="238">
        <f t="shared" si="54"/>
        <v>0.39</v>
      </c>
      <c r="CS16" s="246">
        <f t="shared" si="55"/>
        <v>0.20497351590005652</v>
      </c>
      <c r="CT16" s="188">
        <f t="shared" si="88"/>
        <v>0.93217363077807747</v>
      </c>
      <c r="CU16" s="206">
        <f t="shared" si="56"/>
        <v>6.9321736307780775</v>
      </c>
      <c r="CV16" s="227">
        <f t="shared" si="57"/>
        <v>0.86552938797733936</v>
      </c>
      <c r="CW16">
        <f t="shared" si="58"/>
        <v>26.848964346349746</v>
      </c>
      <c r="CX16">
        <f t="shared" si="59"/>
        <v>81.777615685660834</v>
      </c>
      <c r="DA16" s="22">
        <v>40</v>
      </c>
      <c r="DB16" s="22">
        <f t="shared" si="89"/>
        <v>251.32741228718345</v>
      </c>
      <c r="DC16" s="260">
        <f t="shared" si="90"/>
        <v>23.925436819738515</v>
      </c>
      <c r="DD16" s="93">
        <f t="shared" si="112"/>
        <v>-2.0804643391299078</v>
      </c>
      <c r="DE16" s="260">
        <f t="shared" si="113"/>
        <v>25.50894995551689</v>
      </c>
      <c r="DF16" s="93">
        <f t="shared" si="114"/>
        <v>-2.0406973676791482</v>
      </c>
      <c r="DG16" s="257">
        <f t="shared" si="115"/>
        <v>30.697859242422993</v>
      </c>
      <c r="DH16" s="93">
        <f t="shared" si="116"/>
        <v>-2.5186141357687029</v>
      </c>
      <c r="DI16" s="91">
        <f t="shared" si="96"/>
        <v>4.060656194356163</v>
      </c>
      <c r="DJ16" s="257">
        <f t="shared" si="97"/>
        <v>94.481169567412735</v>
      </c>
      <c r="DK16" s="92">
        <f t="shared" si="98"/>
        <v>4.8358420751327706</v>
      </c>
      <c r="DL16" s="93">
        <f t="shared" si="99"/>
        <v>94.646108945596538</v>
      </c>
      <c r="DM16" s="260">
        <f t="shared" si="100"/>
        <v>27.986093014094678</v>
      </c>
      <c r="DN16" s="270">
        <f t="shared" si="101"/>
        <v>92.400705228282831</v>
      </c>
      <c r="DO16" s="260">
        <f t="shared" si="102"/>
        <v>29.569606149873053</v>
      </c>
      <c r="DP16" s="267">
        <f t="shared" si="103"/>
        <v>92.440472199733591</v>
      </c>
      <c r="DQ16" s="257">
        <f t="shared" si="104"/>
        <v>34.758515436779156</v>
      </c>
      <c r="DR16" s="267">
        <f t="shared" si="105"/>
        <v>91.962555431644034</v>
      </c>
      <c r="DS16" s="260">
        <f t="shared" si="106"/>
        <v>28.761278894871285</v>
      </c>
      <c r="DT16" s="269">
        <f t="shared" si="107"/>
        <v>92.565644606466634</v>
      </c>
      <c r="DU16" s="260">
        <f t="shared" si="108"/>
        <v>30.344792030649661</v>
      </c>
      <c r="DV16" s="93">
        <f t="shared" si="109"/>
        <v>92.605411577917394</v>
      </c>
      <c r="DW16" s="257">
        <f t="shared" si="110"/>
        <v>35.533701317555767</v>
      </c>
      <c r="DX16" s="93">
        <f t="shared" si="111"/>
        <v>92.127494809827837</v>
      </c>
    </row>
    <row r="17" spans="1:128" ht="15.75" thickBot="1" x14ac:dyDescent="0.3">
      <c r="A17" s="12" t="s">
        <v>313</v>
      </c>
      <c r="B17" s="12">
        <f>IF(n4_Flyback_Calc&lt;&gt;0,n4_Flyback/Np,0)</f>
        <v>0</v>
      </c>
      <c r="C17" s="12"/>
      <c r="E17" t="s">
        <v>55</v>
      </c>
      <c r="F17">
        <f>IF(AND(Vout1&lt;&gt;0),(Np*(ABS(Vout1)+Vdiode1))/((Ns1_Flyback*VinMin)+(Np*(ABS(Vout1)+Vdiode1))),0)</f>
        <v>0.49995283463824169</v>
      </c>
      <c r="G17">
        <f>(Pout_Flyback*eff)/(F17*VinMin)</f>
        <v>1.2001132075471699</v>
      </c>
      <c r="H17" s="2">
        <f>(VinMin*F17)/(G17*RR*Fsw)</f>
        <v>6.2488209215703249E-5</v>
      </c>
      <c r="L17" s="58">
        <v>13</v>
      </c>
      <c r="M17" s="62">
        <f t="shared" si="0"/>
        <v>19.14</v>
      </c>
      <c r="N17" s="42">
        <f t="shared" si="1"/>
        <v>1.0406549069862136E-4</v>
      </c>
      <c r="O17" s="19">
        <f t="shared" si="2"/>
        <v>9.3658941628759222E-5</v>
      </c>
      <c r="P17" s="43">
        <f t="shared" si="3"/>
        <v>8.5144492389781099E-5</v>
      </c>
      <c r="Q17" s="60">
        <f t="shared" si="4"/>
        <v>0.31978838456182351</v>
      </c>
      <c r="R17" s="63">
        <f t="shared" si="5"/>
        <v>0.34831069313827928</v>
      </c>
      <c r="S17" s="28">
        <f t="shared" si="6"/>
        <v>1.0891911962829335</v>
      </c>
      <c r="T17" s="12">
        <f t="shared" si="7"/>
        <v>0.25188270290178205</v>
      </c>
      <c r="U17" s="12">
        <f t="shared" si="60"/>
        <v>1.2151325477338246</v>
      </c>
      <c r="V17" s="55">
        <f t="shared" si="8"/>
        <v>1.4950492988067254</v>
      </c>
      <c r="W17" s="54">
        <f t="shared" si="61"/>
        <v>0.61730680022553919</v>
      </c>
      <c r="X17" s="55">
        <f t="shared" si="62"/>
        <v>0.50965414415093802</v>
      </c>
      <c r="Y17" s="54">
        <f t="shared" si="9"/>
        <v>0.6138067789831364</v>
      </c>
      <c r="Z17" s="55">
        <f t="shared" si="63"/>
        <v>0.35603196756141559</v>
      </c>
      <c r="AA17" s="54">
        <f t="shared" si="10"/>
        <v>0.6138067789831364</v>
      </c>
      <c r="AB17" s="55">
        <f t="shared" si="64"/>
        <v>0.35603196756141559</v>
      </c>
      <c r="AC17" s="54">
        <f t="shared" si="11"/>
        <v>0</v>
      </c>
      <c r="AD17" s="55">
        <f t="shared" si="65"/>
        <v>0</v>
      </c>
      <c r="AE17" s="54">
        <f t="shared" si="12"/>
        <v>0</v>
      </c>
      <c r="AF17" s="55">
        <f t="shared" si="66"/>
        <v>0</v>
      </c>
      <c r="AG17" s="54">
        <f t="shared" si="13"/>
        <v>0</v>
      </c>
      <c r="AH17" s="55">
        <f t="shared" si="67"/>
        <v>0</v>
      </c>
      <c r="AI17" s="54">
        <f t="shared" si="68"/>
        <v>0</v>
      </c>
      <c r="AJ17" s="177">
        <f t="shared" si="69"/>
        <v>0</v>
      </c>
      <c r="AK17" s="54">
        <f t="shared" si="14"/>
        <v>0.13009092761905083</v>
      </c>
      <c r="AL17" s="55">
        <f t="shared" si="15"/>
        <v>8.3208469813986607E-2</v>
      </c>
      <c r="AM17" s="179">
        <f t="shared" si="16"/>
        <v>2.2066297788280707E-2</v>
      </c>
      <c r="AN17" s="52">
        <f t="shared" si="17"/>
        <v>0</v>
      </c>
      <c r="AO17" s="74">
        <f t="shared" si="70"/>
        <v>0</v>
      </c>
      <c r="AP17" s="78">
        <v>0</v>
      </c>
      <c r="AQ17" s="87">
        <f t="shared" si="18"/>
        <v>0</v>
      </c>
      <c r="AR17" s="46">
        <f t="shared" si="19"/>
        <v>8.6819838735448496</v>
      </c>
      <c r="AS17" s="69">
        <f t="shared" si="20"/>
        <v>6.5114879051586371E-3</v>
      </c>
      <c r="AT17" s="42">
        <f t="shared" si="21"/>
        <v>11.146872382805071</v>
      </c>
      <c r="AU17" s="79">
        <f t="shared" si="22"/>
        <v>8.3601542871038041E-3</v>
      </c>
      <c r="AV17" s="83">
        <f t="shared" si="71"/>
        <v>1.3049224628023149E-2</v>
      </c>
      <c r="AW17" s="84">
        <f t="shared" si="72"/>
        <v>2.7938443810677623E-2</v>
      </c>
      <c r="AX17" s="42">
        <f t="shared" si="23"/>
        <v>4.1058732612055629E-2</v>
      </c>
      <c r="AY17" s="43">
        <f t="shared" si="73"/>
        <v>2.08182164485624E-2</v>
      </c>
      <c r="AZ17" s="85">
        <f t="shared" si="24"/>
        <v>4.1058732612055629E-2</v>
      </c>
      <c r="BA17" s="86">
        <f t="shared" si="74"/>
        <v>2.08182164485624E-2</v>
      </c>
      <c r="BB17" s="85">
        <f t="shared" si="25"/>
        <v>0</v>
      </c>
      <c r="BC17" s="86">
        <f t="shared" si="75"/>
        <v>0</v>
      </c>
      <c r="BD17" s="85">
        <f t="shared" si="26"/>
        <v>0</v>
      </c>
      <c r="BE17" s="86">
        <f t="shared" si="76"/>
        <v>0</v>
      </c>
      <c r="BF17" s="85">
        <f t="shared" si="27"/>
        <v>0</v>
      </c>
      <c r="BG17" s="86">
        <f t="shared" si="77"/>
        <v>0</v>
      </c>
      <c r="BH17" s="85">
        <f t="shared" si="28"/>
        <v>0</v>
      </c>
      <c r="BI17" s="86">
        <f t="shared" si="78"/>
        <v>0</v>
      </c>
      <c r="BJ17" s="85">
        <f t="shared" si="29"/>
        <v>3.1673879443585777E-3</v>
      </c>
      <c r="BK17" s="207">
        <f t="shared" si="30"/>
        <v>2.1929883795046901E-3</v>
      </c>
      <c r="BL17" s="85">
        <f t="shared" si="79"/>
        <v>0.17010194288380009</v>
      </c>
      <c r="BM17" s="176">
        <f t="shared" si="80"/>
        <v>0.17010194288380009</v>
      </c>
      <c r="BN17" s="176">
        <f t="shared" si="81"/>
        <v>0.17010194288380009</v>
      </c>
      <c r="BO17" s="176">
        <f t="shared" si="82"/>
        <v>0.17661343078895872</v>
      </c>
      <c r="BP17" s="86">
        <f t="shared" si="83"/>
        <v>0.17846209717090389</v>
      </c>
      <c r="BQ17" s="211">
        <f t="shared" si="84"/>
        <v>8.4924237268127999E-3</v>
      </c>
      <c r="BR17" s="237">
        <f t="shared" si="31"/>
        <v>2.5000000000000001E-3</v>
      </c>
      <c r="BS17" s="237">
        <f t="shared" si="32"/>
        <v>2.5000000000000001E-3</v>
      </c>
      <c r="BT17" s="237">
        <f t="shared" si="33"/>
        <v>0</v>
      </c>
      <c r="BU17" s="237">
        <f t="shared" si="34"/>
        <v>0</v>
      </c>
      <c r="BV17" s="237">
        <f t="shared" si="35"/>
        <v>0</v>
      </c>
      <c r="BW17" s="237">
        <f t="shared" si="36"/>
        <v>0</v>
      </c>
      <c r="BX17" s="212">
        <f t="shared" si="37"/>
        <v>1.0000000000000002E-4</v>
      </c>
      <c r="BY17" s="238">
        <f t="shared" si="85"/>
        <v>1.35924237268128E-2</v>
      </c>
      <c r="BZ17" s="244">
        <f t="shared" si="86"/>
        <v>6.0660169477234286E-4</v>
      </c>
      <c r="CA17" s="243">
        <f t="shared" si="38"/>
        <v>9.3812037735849077E-2</v>
      </c>
      <c r="CB17" s="243">
        <f t="shared" si="39"/>
        <v>0.23099999999999998</v>
      </c>
      <c r="CC17" s="238">
        <f t="shared" si="87"/>
        <v>0.32541863943062144</v>
      </c>
      <c r="CD17" s="244">
        <f t="shared" si="40"/>
        <v>0.15</v>
      </c>
      <c r="CE17" s="243">
        <f t="shared" si="41"/>
        <v>3.0000000000000002E-2</v>
      </c>
      <c r="CF17" s="243">
        <f t="shared" si="42"/>
        <v>0.15</v>
      </c>
      <c r="CG17" s="243">
        <f t="shared" si="43"/>
        <v>3.0000000000000002E-2</v>
      </c>
      <c r="CH17" s="243">
        <f t="shared" si="44"/>
        <v>0</v>
      </c>
      <c r="CI17" s="243">
        <f t="shared" si="45"/>
        <v>0</v>
      </c>
      <c r="CJ17" s="243">
        <f t="shared" si="46"/>
        <v>0</v>
      </c>
      <c r="CK17" s="243">
        <f t="shared" si="47"/>
        <v>0</v>
      </c>
      <c r="CL17" s="243">
        <f t="shared" si="48"/>
        <v>0</v>
      </c>
      <c r="CM17" s="243">
        <f t="shared" si="49"/>
        <v>0</v>
      </c>
      <c r="CN17" s="243">
        <f t="shared" si="50"/>
        <v>0</v>
      </c>
      <c r="CO17" s="243">
        <f t="shared" si="51"/>
        <v>0</v>
      </c>
      <c r="CP17" s="243">
        <f t="shared" si="52"/>
        <v>0.03</v>
      </c>
      <c r="CQ17" s="243">
        <f t="shared" si="53"/>
        <v>6.0000000000000005E-2</v>
      </c>
      <c r="CR17" s="238">
        <f t="shared" si="54"/>
        <v>0.39</v>
      </c>
      <c r="CS17" s="246">
        <f t="shared" si="55"/>
        <v>0.20043925534858548</v>
      </c>
      <c r="CT17" s="188">
        <f t="shared" si="88"/>
        <v>0.92945031850601967</v>
      </c>
      <c r="CU17" s="206">
        <f t="shared" si="56"/>
        <v>6.9294503185060199</v>
      </c>
      <c r="CV17" s="227">
        <f t="shared" si="57"/>
        <v>0.86586954581032216</v>
      </c>
      <c r="CW17">
        <f t="shared" si="58"/>
        <v>27.628964346349747</v>
      </c>
      <c r="CX17">
        <f t="shared" si="59"/>
        <v>81.97134391445654</v>
      </c>
      <c r="DA17" s="22">
        <v>50</v>
      </c>
      <c r="DB17" s="22">
        <f t="shared" si="89"/>
        <v>314.15926535897933</v>
      </c>
      <c r="DC17" s="260">
        <f t="shared" si="90"/>
        <v>23.922697258388599</v>
      </c>
      <c r="DD17" s="93">
        <f t="shared" si="112"/>
        <v>-2.6000758470403609</v>
      </c>
      <c r="DE17" s="260">
        <f t="shared" si="113"/>
        <v>25.506208967523921</v>
      </c>
      <c r="DF17" s="93">
        <f t="shared" si="114"/>
        <v>-2.5503671745476146</v>
      </c>
      <c r="DG17" s="257">
        <f t="shared" si="115"/>
        <v>30.693266004359518</v>
      </c>
      <c r="DH17" s="93">
        <f t="shared" si="116"/>
        <v>-3.1471721806991879</v>
      </c>
      <c r="DI17" s="91">
        <f t="shared" si="96"/>
        <v>2.1379749868204621</v>
      </c>
      <c r="DJ17" s="257">
        <f t="shared" si="97"/>
        <v>95.594641457061542</v>
      </c>
      <c r="DK17" s="92">
        <f t="shared" si="98"/>
        <v>2.9142923756215677</v>
      </c>
      <c r="DL17" s="93">
        <f t="shared" si="99"/>
        <v>95.800055324137944</v>
      </c>
      <c r="DM17" s="260">
        <f t="shared" si="100"/>
        <v>26.060672245209062</v>
      </c>
      <c r="DN17" s="270">
        <f t="shared" si="101"/>
        <v>92.994565610021198</v>
      </c>
      <c r="DO17" s="260">
        <f t="shared" si="102"/>
        <v>27.644183954344385</v>
      </c>
      <c r="DP17" s="267">
        <f t="shared" si="103"/>
        <v>93.044274282513925</v>
      </c>
      <c r="DQ17" s="257">
        <f t="shared" si="104"/>
        <v>32.831240991179982</v>
      </c>
      <c r="DR17" s="267">
        <f t="shared" si="105"/>
        <v>92.447469276362355</v>
      </c>
      <c r="DS17" s="260">
        <f t="shared" si="106"/>
        <v>26.836989634010166</v>
      </c>
      <c r="DT17" s="269">
        <f t="shared" si="107"/>
        <v>93.199979477097571</v>
      </c>
      <c r="DU17" s="260">
        <f t="shared" si="108"/>
        <v>28.420501343145489</v>
      </c>
      <c r="DV17" s="93">
        <f t="shared" si="109"/>
        <v>93.249688149590327</v>
      </c>
      <c r="DW17" s="257">
        <f t="shared" si="110"/>
        <v>33.607558379981086</v>
      </c>
      <c r="DX17" s="93">
        <f t="shared" si="111"/>
        <v>92.652883143438757</v>
      </c>
    </row>
    <row r="18" spans="1:128" ht="15.75" thickBot="1" x14ac:dyDescent="0.3">
      <c r="A18" s="12" t="s">
        <v>314</v>
      </c>
      <c r="B18" s="21">
        <f>IF(AND(Vout5&lt;&gt;0,n1_Flyback&lt;&gt;0,IoutPri_FBB=0),((ABS(Vout5)+Vdiode5)*(n1_Flyback/Np))/(ABS(Vout1)+Vdiode1),0)</f>
        <v>0</v>
      </c>
      <c r="C18" s="12"/>
      <c r="E18" t="s">
        <v>56</v>
      </c>
      <c r="F18">
        <f>IF(AND(Vout1&lt;&gt;0),(Np*(ABS(Vout1)+Vdiode1))/((Ns1_Flyback*VinNom)+(Np*(ABS(Vout1)+Vdiode1))),0)</f>
        <v>0.42852522639068569</v>
      </c>
      <c r="G18">
        <f>(Pout_Flyback*eff)/(F18*VinNom)</f>
        <v>1.0501132075471697</v>
      </c>
      <c r="H18" s="2">
        <f>(VinNom*F18)/(G18*RR*Fsw)</f>
        <v>8.1615053179194837E-5</v>
      </c>
      <c r="L18" s="58">
        <v>14</v>
      </c>
      <c r="M18" s="62">
        <f t="shared" si="0"/>
        <v>19.920000000000002</v>
      </c>
      <c r="N18" s="42">
        <f t="shared" si="1"/>
        <v>1.0672145389720788E-4</v>
      </c>
      <c r="O18" s="19">
        <f t="shared" si="2"/>
        <v>9.6049308507487096E-5</v>
      </c>
      <c r="P18" s="43">
        <f t="shared" si="3"/>
        <v>8.7317553188624632E-5</v>
      </c>
      <c r="Q18" s="60">
        <f t="shared" si="4"/>
        <v>0.31116288026452371</v>
      </c>
      <c r="R18" s="63">
        <f t="shared" si="5"/>
        <v>0.33467202141900937</v>
      </c>
      <c r="S18" s="28">
        <f t="shared" si="6"/>
        <v>1.0755525245636632</v>
      </c>
      <c r="T18" s="12">
        <f t="shared" si="7"/>
        <v>0.25507673147610344</v>
      </c>
      <c r="U18" s="12">
        <f t="shared" si="60"/>
        <v>1.203090890301715</v>
      </c>
      <c r="V18" s="55">
        <f t="shared" si="8"/>
        <v>1.4745740238713463</v>
      </c>
      <c r="W18" s="54">
        <f t="shared" si="61"/>
        <v>0.60136882715817208</v>
      </c>
      <c r="X18" s="55">
        <f t="shared" si="62"/>
        <v>0.49963897401714924</v>
      </c>
      <c r="Y18" s="54">
        <f t="shared" si="9"/>
        <v>0.61033763209567626</v>
      </c>
      <c r="Z18" s="55">
        <f t="shared" si="63"/>
        <v>0.35001717836722968</v>
      </c>
      <c r="AA18" s="54">
        <f t="shared" si="10"/>
        <v>0.61033763209567626</v>
      </c>
      <c r="AB18" s="55">
        <f t="shared" si="64"/>
        <v>0.35001717836722968</v>
      </c>
      <c r="AC18" s="54">
        <f t="shared" si="11"/>
        <v>0</v>
      </c>
      <c r="AD18" s="55">
        <f t="shared" si="65"/>
        <v>0</v>
      </c>
      <c r="AE18" s="54">
        <f t="shared" si="12"/>
        <v>0</v>
      </c>
      <c r="AF18" s="55">
        <f t="shared" si="66"/>
        <v>0</v>
      </c>
      <c r="AG18" s="54">
        <f t="shared" si="13"/>
        <v>0</v>
      </c>
      <c r="AH18" s="55">
        <f t="shared" si="67"/>
        <v>0</v>
      </c>
      <c r="AI18" s="54">
        <f t="shared" si="68"/>
        <v>0</v>
      </c>
      <c r="AJ18" s="177">
        <f t="shared" si="69"/>
        <v>0</v>
      </c>
      <c r="AK18" s="54">
        <f t="shared" si="14"/>
        <v>0.12971191430148651</v>
      </c>
      <c r="AL18" s="55">
        <f t="shared" si="15"/>
        <v>8.2614651919354951E-2</v>
      </c>
      <c r="AM18" s="179">
        <f t="shared" si="16"/>
        <v>2.2346112102059675E-2</v>
      </c>
      <c r="AN18" s="52">
        <f t="shared" si="17"/>
        <v>0</v>
      </c>
      <c r="AO18" s="74">
        <f t="shared" si="70"/>
        <v>0</v>
      </c>
      <c r="AP18" s="78">
        <v>0</v>
      </c>
      <c r="AQ18" s="87">
        <f t="shared" si="18"/>
        <v>0</v>
      </c>
      <c r="AR18" s="46">
        <f t="shared" si="19"/>
        <v>8.9779218458719505</v>
      </c>
      <c r="AS18" s="69">
        <f t="shared" si="20"/>
        <v>6.7334413844039633E-3</v>
      </c>
      <c r="AT18" s="42">
        <f t="shared" si="21"/>
        <v>11.497816548248913</v>
      </c>
      <c r="AU18" s="79">
        <f t="shared" si="22"/>
        <v>8.6233624111866844E-3</v>
      </c>
      <c r="AV18" s="83">
        <f t="shared" si="71"/>
        <v>1.2047305009546597E-2</v>
      </c>
      <c r="AW18" s="84">
        <f t="shared" si="72"/>
        <v>2.6851200522233939E-2</v>
      </c>
      <c r="AX18" s="42">
        <f t="shared" si="23"/>
        <v>4.1058732612055629E-2</v>
      </c>
      <c r="AY18" s="43">
        <f t="shared" si="73"/>
        <v>2.0120753929935405E-2</v>
      </c>
      <c r="AZ18" s="85">
        <f t="shared" si="24"/>
        <v>4.1058732612055629E-2</v>
      </c>
      <c r="BA18" s="86">
        <f t="shared" si="74"/>
        <v>2.0120753929935405E-2</v>
      </c>
      <c r="BB18" s="85">
        <f t="shared" si="25"/>
        <v>0</v>
      </c>
      <c r="BC18" s="86">
        <f t="shared" si="75"/>
        <v>0</v>
      </c>
      <c r="BD18" s="85">
        <f t="shared" si="26"/>
        <v>0</v>
      </c>
      <c r="BE18" s="86">
        <f t="shared" si="76"/>
        <v>0</v>
      </c>
      <c r="BF18" s="85">
        <f t="shared" si="27"/>
        <v>0</v>
      </c>
      <c r="BG18" s="86">
        <f t="shared" si="77"/>
        <v>0</v>
      </c>
      <c r="BH18" s="85">
        <f t="shared" si="28"/>
        <v>0</v>
      </c>
      <c r="BI18" s="86">
        <f t="shared" si="78"/>
        <v>0</v>
      </c>
      <c r="BJ18" s="85">
        <f t="shared" si="29"/>
        <v>3.1673879443585777E-3</v>
      </c>
      <c r="BK18" s="207">
        <f t="shared" si="30"/>
        <v>2.1617995104485214E-3</v>
      </c>
      <c r="BL18" s="85">
        <f t="shared" si="79"/>
        <v>0.16658666607056971</v>
      </c>
      <c r="BM18" s="176">
        <f t="shared" si="80"/>
        <v>0.16658666607056971</v>
      </c>
      <c r="BN18" s="176">
        <f t="shared" si="81"/>
        <v>0.16658666607056971</v>
      </c>
      <c r="BO18" s="176">
        <f t="shared" si="82"/>
        <v>0.17332010745497367</v>
      </c>
      <c r="BP18" s="86">
        <f t="shared" si="83"/>
        <v>0.1752100284817564</v>
      </c>
      <c r="BQ18" s="211">
        <f t="shared" si="84"/>
        <v>7.8403753344480111E-3</v>
      </c>
      <c r="BR18" s="237">
        <f t="shared" si="31"/>
        <v>2.5000000000000001E-3</v>
      </c>
      <c r="BS18" s="237">
        <f t="shared" si="32"/>
        <v>2.5000000000000001E-3</v>
      </c>
      <c r="BT18" s="237">
        <f t="shared" si="33"/>
        <v>0</v>
      </c>
      <c r="BU18" s="237">
        <f t="shared" si="34"/>
        <v>0</v>
      </c>
      <c r="BV18" s="237">
        <f t="shared" si="35"/>
        <v>0</v>
      </c>
      <c r="BW18" s="237">
        <f t="shared" si="36"/>
        <v>0</v>
      </c>
      <c r="BX18" s="212">
        <f t="shared" si="37"/>
        <v>1.0000000000000002E-4</v>
      </c>
      <c r="BY18" s="238">
        <f t="shared" si="85"/>
        <v>1.2940375334448011E-2</v>
      </c>
      <c r="BZ18" s="244">
        <f t="shared" si="86"/>
        <v>5.6002680960342936E-4</v>
      </c>
      <c r="CA18" s="243">
        <f t="shared" si="38"/>
        <v>9.6412528301886777E-2</v>
      </c>
      <c r="CB18" s="243">
        <f t="shared" si="39"/>
        <v>0.23099999999999998</v>
      </c>
      <c r="CC18" s="238">
        <f t="shared" si="87"/>
        <v>0.3279725551114902</v>
      </c>
      <c r="CD18" s="244">
        <f t="shared" si="40"/>
        <v>0.15</v>
      </c>
      <c r="CE18" s="243">
        <f t="shared" si="41"/>
        <v>3.0000000000000002E-2</v>
      </c>
      <c r="CF18" s="243">
        <f t="shared" si="42"/>
        <v>0.15</v>
      </c>
      <c r="CG18" s="243">
        <f t="shared" si="43"/>
        <v>3.0000000000000002E-2</v>
      </c>
      <c r="CH18" s="243">
        <f t="shared" si="44"/>
        <v>0</v>
      </c>
      <c r="CI18" s="243">
        <f t="shared" si="45"/>
        <v>0</v>
      </c>
      <c r="CJ18" s="243">
        <f t="shared" si="46"/>
        <v>0</v>
      </c>
      <c r="CK18" s="243">
        <f t="shared" si="47"/>
        <v>0</v>
      </c>
      <c r="CL18" s="243">
        <f t="shared" si="48"/>
        <v>0</v>
      </c>
      <c r="CM18" s="243">
        <f t="shared" si="49"/>
        <v>0</v>
      </c>
      <c r="CN18" s="243">
        <f t="shared" si="50"/>
        <v>0</v>
      </c>
      <c r="CO18" s="243">
        <f t="shared" si="51"/>
        <v>0</v>
      </c>
      <c r="CP18" s="243">
        <f t="shared" si="52"/>
        <v>0.03</v>
      </c>
      <c r="CQ18" s="243">
        <f t="shared" si="53"/>
        <v>6.0000000000000005E-2</v>
      </c>
      <c r="CR18" s="238">
        <f t="shared" si="54"/>
        <v>0.39</v>
      </c>
      <c r="CS18" s="246">
        <f t="shared" si="55"/>
        <v>0.19630467110598165</v>
      </c>
      <c r="CT18" s="188">
        <f t="shared" si="88"/>
        <v>0.92721760155192001</v>
      </c>
      <c r="CU18" s="206">
        <f t="shared" si="56"/>
        <v>6.92721760155192</v>
      </c>
      <c r="CV18" s="227">
        <f t="shared" si="57"/>
        <v>0.86614862490472455</v>
      </c>
      <c r="CW18">
        <f t="shared" si="58"/>
        <v>28.408964346349748</v>
      </c>
      <c r="CX18">
        <f t="shared" si="59"/>
        <v>82.212824622857283</v>
      </c>
      <c r="DA18" s="22">
        <v>60</v>
      </c>
      <c r="DB18" s="22">
        <f t="shared" si="89"/>
        <v>376.99111843077515</v>
      </c>
      <c r="DC18" s="260">
        <f t="shared" si="90"/>
        <v>23.919351250627535</v>
      </c>
      <c r="DD18" s="93">
        <f t="shared" si="112"/>
        <v>-3.1193515922586879</v>
      </c>
      <c r="DE18" s="260">
        <f t="shared" si="113"/>
        <v>25.502861216090537</v>
      </c>
      <c r="DF18" s="93">
        <f t="shared" si="114"/>
        <v>-3.059701246604317</v>
      </c>
      <c r="DG18" s="257">
        <f t="shared" si="115"/>
        <v>30.687658634764436</v>
      </c>
      <c r="DH18" s="93">
        <f t="shared" si="116"/>
        <v>-3.7750021625380525</v>
      </c>
      <c r="DI18" s="91">
        <f t="shared" si="96"/>
        <v>0.57324272883455862</v>
      </c>
      <c r="DJ18" s="257">
        <f t="shared" si="97"/>
        <v>96.703613841376395</v>
      </c>
      <c r="DK18" s="92">
        <f t="shared" si="98"/>
        <v>1.3509317577498217</v>
      </c>
      <c r="DL18" s="93">
        <f t="shared" si="99"/>
        <v>96.949004419451825</v>
      </c>
      <c r="DM18" s="260">
        <f t="shared" si="100"/>
        <v>24.492593979462093</v>
      </c>
      <c r="DN18" s="270">
        <f t="shared" si="101"/>
        <v>93.5842622491177</v>
      </c>
      <c r="DO18" s="260">
        <f t="shared" si="102"/>
        <v>26.076103944925094</v>
      </c>
      <c r="DP18" s="267">
        <f t="shared" si="103"/>
        <v>93.643912594772075</v>
      </c>
      <c r="DQ18" s="257">
        <f t="shared" si="104"/>
        <v>31.260901363598993</v>
      </c>
      <c r="DR18" s="267">
        <f t="shared" si="105"/>
        <v>92.928611678838337</v>
      </c>
      <c r="DS18" s="260">
        <f t="shared" si="106"/>
        <v>25.270283008377358</v>
      </c>
      <c r="DT18" s="269">
        <f t="shared" si="107"/>
        <v>93.829652827193144</v>
      </c>
      <c r="DU18" s="260">
        <f t="shared" si="108"/>
        <v>26.85379297384036</v>
      </c>
      <c r="DV18" s="93">
        <f t="shared" si="109"/>
        <v>93.889303172847505</v>
      </c>
      <c r="DW18" s="257">
        <f t="shared" si="110"/>
        <v>32.038590392514259</v>
      </c>
      <c r="DX18" s="93">
        <f t="shared" si="111"/>
        <v>93.174002256913766</v>
      </c>
    </row>
    <row r="19" spans="1:128" ht="15.75" thickBot="1" x14ac:dyDescent="0.3">
      <c r="A19" s="12" t="s">
        <v>315</v>
      </c>
      <c r="B19" s="12">
        <f>IF(n5_Flyback_Calc&lt;&gt;0,n5_Flyback/Np,0)</f>
        <v>0</v>
      </c>
      <c r="C19" s="12"/>
      <c r="E19" t="s">
        <v>57</v>
      </c>
      <c r="F19">
        <f>IF(AND(Vout1&lt;&gt;0),(Np*(ABS(Vout1)+Vdiode1))/((Ns1_Flyback*VinMax)+(Np*(ABS(Vout1)+Vdiode1))),0)</f>
        <v>0.15786965328249733</v>
      </c>
      <c r="G19">
        <f>(Pout_Flyback*eff)/(F19*VinMax)</f>
        <v>0.71261320754716984</v>
      </c>
      <c r="H19" s="2">
        <f>(VinMax*F19)/(G19*RR*Fsw)</f>
        <v>1.7722899504025541E-4</v>
      </c>
      <c r="L19" s="58">
        <v>15</v>
      </c>
      <c r="M19" s="62">
        <f t="shared" si="0"/>
        <v>20.700000000000003</v>
      </c>
      <c r="N19" s="42">
        <f t="shared" si="1"/>
        <v>1.0926878027016112E-4</v>
      </c>
      <c r="O19" s="19">
        <f t="shared" si="2"/>
        <v>9.8341902243144995E-5</v>
      </c>
      <c r="P19" s="43">
        <f t="shared" si="3"/>
        <v>8.9401729311949991E-5</v>
      </c>
      <c r="Q19" s="60">
        <f t="shared" si="4"/>
        <v>0.3029904586589528</v>
      </c>
      <c r="R19" s="63">
        <f t="shared" si="5"/>
        <v>0.32206119162640895</v>
      </c>
      <c r="S19" s="28">
        <f t="shared" si="6"/>
        <v>1.0629416947710628</v>
      </c>
      <c r="T19" s="12">
        <f t="shared" si="7"/>
        <v>0.25810298330207099</v>
      </c>
      <c r="U19" s="12">
        <f t="shared" si="60"/>
        <v>1.1919931864220983</v>
      </c>
      <c r="V19" s="55">
        <f t="shared" si="8"/>
        <v>1.4555493330346196</v>
      </c>
      <c r="W19" s="54">
        <f t="shared" si="61"/>
        <v>0.58652732154309506</v>
      </c>
      <c r="X19" s="55">
        <f t="shared" si="62"/>
        <v>0.4901947447338606</v>
      </c>
      <c r="Y19" s="54">
        <f t="shared" si="9"/>
        <v>0.60712582143998495</v>
      </c>
      <c r="Z19" s="55">
        <f t="shared" si="63"/>
        <v>0.34438606687724238</v>
      </c>
      <c r="AA19" s="54">
        <f t="shared" si="10"/>
        <v>0.60712582143998495</v>
      </c>
      <c r="AB19" s="55">
        <f t="shared" si="64"/>
        <v>0.34438606687724238</v>
      </c>
      <c r="AC19" s="54">
        <f t="shared" si="11"/>
        <v>0</v>
      </c>
      <c r="AD19" s="55">
        <f t="shared" si="65"/>
        <v>0</v>
      </c>
      <c r="AE19" s="54">
        <f t="shared" si="12"/>
        <v>0</v>
      </c>
      <c r="AF19" s="55">
        <f t="shared" si="66"/>
        <v>0</v>
      </c>
      <c r="AG19" s="54">
        <f t="shared" si="13"/>
        <v>0</v>
      </c>
      <c r="AH19" s="55">
        <f t="shared" si="67"/>
        <v>0</v>
      </c>
      <c r="AI19" s="54">
        <f t="shared" si="68"/>
        <v>0</v>
      </c>
      <c r="AJ19" s="177">
        <f t="shared" si="69"/>
        <v>0</v>
      </c>
      <c r="AK19" s="54">
        <f t="shared" si="14"/>
        <v>0.12937577277983386</v>
      </c>
      <c r="AL19" s="55">
        <f t="shared" si="15"/>
        <v>8.2085873220543851E-2</v>
      </c>
      <c r="AM19" s="179">
        <f t="shared" si="16"/>
        <v>2.2611228258130809E-2</v>
      </c>
      <c r="AN19" s="52">
        <f t="shared" si="17"/>
        <v>0</v>
      </c>
      <c r="AO19" s="74">
        <f t="shared" si="70"/>
        <v>0</v>
      </c>
      <c r="AP19" s="78">
        <v>0</v>
      </c>
      <c r="AQ19" s="87">
        <f t="shared" si="18"/>
        <v>0</v>
      </c>
      <c r="AR19" s="46">
        <f t="shared" si="19"/>
        <v>9.2640485430679451</v>
      </c>
      <c r="AS19" s="69">
        <f t="shared" si="20"/>
        <v>6.9480364073009589E-3</v>
      </c>
      <c r="AT19" s="42">
        <f t="shared" si="21"/>
        <v>11.836299353097951</v>
      </c>
      <c r="AU19" s="79">
        <f t="shared" si="22"/>
        <v>8.8772245148234646E-3</v>
      </c>
      <c r="AV19" s="83">
        <f t="shared" si="71"/>
        <v>1.1156497772503788E-2</v>
      </c>
      <c r="AW19" s="84">
        <f t="shared" si="72"/>
        <v>2.5845705654394795E-2</v>
      </c>
      <c r="AX19" s="42">
        <f t="shared" si="23"/>
        <v>4.1058732612055629E-2</v>
      </c>
      <c r="AY19" s="43">
        <f t="shared" si="73"/>
        <v>1.9478552307060415E-2</v>
      </c>
      <c r="AZ19" s="85">
        <f t="shared" si="24"/>
        <v>4.1058732612055629E-2</v>
      </c>
      <c r="BA19" s="86">
        <f t="shared" si="74"/>
        <v>1.9478552307060415E-2</v>
      </c>
      <c r="BB19" s="85">
        <f t="shared" si="25"/>
        <v>0</v>
      </c>
      <c r="BC19" s="86">
        <f t="shared" si="75"/>
        <v>0</v>
      </c>
      <c r="BD19" s="85">
        <f t="shared" si="26"/>
        <v>0</v>
      </c>
      <c r="BE19" s="86">
        <f t="shared" si="76"/>
        <v>0</v>
      </c>
      <c r="BF19" s="85">
        <f t="shared" si="27"/>
        <v>0</v>
      </c>
      <c r="BG19" s="86">
        <f t="shared" si="77"/>
        <v>0</v>
      </c>
      <c r="BH19" s="85">
        <f t="shared" si="28"/>
        <v>0</v>
      </c>
      <c r="BI19" s="86">
        <f t="shared" si="78"/>
        <v>0</v>
      </c>
      <c r="BJ19" s="85">
        <f t="shared" si="29"/>
        <v>3.1673879443585777E-3</v>
      </c>
      <c r="BK19" s="207">
        <f t="shared" si="30"/>
        <v>2.1342146878623939E-3</v>
      </c>
      <c r="BL19" s="85">
        <f t="shared" si="79"/>
        <v>0.16337837589735166</v>
      </c>
      <c r="BM19" s="176">
        <f t="shared" si="80"/>
        <v>0.16337837589735166</v>
      </c>
      <c r="BN19" s="176">
        <f t="shared" si="81"/>
        <v>0.16337837589735166</v>
      </c>
      <c r="BO19" s="176">
        <f t="shared" si="82"/>
        <v>0.17032641230465262</v>
      </c>
      <c r="BP19" s="86">
        <f t="shared" si="83"/>
        <v>0.17225560041217514</v>
      </c>
      <c r="BQ19" s="211">
        <f t="shared" si="84"/>
        <v>7.2606387806275754E-3</v>
      </c>
      <c r="BR19" s="237">
        <f t="shared" si="31"/>
        <v>2.5000000000000001E-3</v>
      </c>
      <c r="BS19" s="237">
        <f t="shared" si="32"/>
        <v>2.5000000000000001E-3</v>
      </c>
      <c r="BT19" s="237">
        <f t="shared" si="33"/>
        <v>0</v>
      </c>
      <c r="BU19" s="237">
        <f t="shared" si="34"/>
        <v>0</v>
      </c>
      <c r="BV19" s="237">
        <f t="shared" si="35"/>
        <v>0</v>
      </c>
      <c r="BW19" s="237">
        <f t="shared" si="36"/>
        <v>0</v>
      </c>
      <c r="BX19" s="212">
        <f t="shared" si="37"/>
        <v>1.0000000000000002E-4</v>
      </c>
      <c r="BY19" s="238">
        <f t="shared" si="85"/>
        <v>1.2360638780627575E-2</v>
      </c>
      <c r="BZ19" s="244">
        <f t="shared" si="86"/>
        <v>5.1861705575911247E-4</v>
      </c>
      <c r="CA19" s="243">
        <f t="shared" si="38"/>
        <v>9.9013018867924518E-2</v>
      </c>
      <c r="CB19" s="243">
        <f t="shared" si="39"/>
        <v>0.23099999999999998</v>
      </c>
      <c r="CC19" s="238">
        <f t="shared" si="87"/>
        <v>0.33053163592368362</v>
      </c>
      <c r="CD19" s="244">
        <f t="shared" si="40"/>
        <v>0.15</v>
      </c>
      <c r="CE19" s="243">
        <f t="shared" si="41"/>
        <v>3.0000000000000002E-2</v>
      </c>
      <c r="CF19" s="243">
        <f t="shared" si="42"/>
        <v>0.15</v>
      </c>
      <c r="CG19" s="243">
        <f t="shared" si="43"/>
        <v>3.0000000000000002E-2</v>
      </c>
      <c r="CH19" s="243">
        <f t="shared" si="44"/>
        <v>0</v>
      </c>
      <c r="CI19" s="243">
        <f t="shared" si="45"/>
        <v>0</v>
      </c>
      <c r="CJ19" s="243">
        <f t="shared" si="46"/>
        <v>0</v>
      </c>
      <c r="CK19" s="243">
        <f t="shared" si="47"/>
        <v>0</v>
      </c>
      <c r="CL19" s="243">
        <f t="shared" si="48"/>
        <v>0</v>
      </c>
      <c r="CM19" s="243">
        <f t="shared" si="49"/>
        <v>0</v>
      </c>
      <c r="CN19" s="243">
        <f t="shared" si="50"/>
        <v>0</v>
      </c>
      <c r="CO19" s="243">
        <f t="shared" si="51"/>
        <v>0</v>
      </c>
      <c r="CP19" s="243">
        <f t="shared" si="52"/>
        <v>0.03</v>
      </c>
      <c r="CQ19" s="243">
        <f t="shared" si="53"/>
        <v>6.0000000000000005E-2</v>
      </c>
      <c r="CR19" s="238">
        <f t="shared" si="54"/>
        <v>0.39</v>
      </c>
      <c r="CS19" s="246">
        <f t="shared" si="55"/>
        <v>0.1925183215126193</v>
      </c>
      <c r="CT19" s="188">
        <f t="shared" si="88"/>
        <v>0.92541059621693045</v>
      </c>
      <c r="CU19" s="206">
        <f t="shared" si="56"/>
        <v>6.9254105962169303</v>
      </c>
      <c r="CV19" s="227">
        <f t="shared" si="57"/>
        <v>0.866374623806068</v>
      </c>
      <c r="CW19">
        <f t="shared" si="58"/>
        <v>29.188964346349749</v>
      </c>
      <c r="CX19">
        <f t="shared" si="59"/>
        <v>82.496520217477567</v>
      </c>
      <c r="DA19" s="22">
        <v>70</v>
      </c>
      <c r="DB19" s="22">
        <f t="shared" si="89"/>
        <v>439.82297150257102</v>
      </c>
      <c r="DC19" s="260">
        <f t="shared" si="90"/>
        <v>23.915400198335682</v>
      </c>
      <c r="DD19" s="93">
        <f t="shared" si="112"/>
        <v>-3.638225042438477</v>
      </c>
      <c r="DE19" s="260">
        <f t="shared" si="113"/>
        <v>25.498908103098373</v>
      </c>
      <c r="DF19" s="93">
        <f t="shared" si="114"/>
        <v>-3.5686330570787854</v>
      </c>
      <c r="DG19" s="257">
        <f t="shared" si="115"/>
        <v>30.681041062372092</v>
      </c>
      <c r="DH19" s="93">
        <f t="shared" si="116"/>
        <v>-4.4019607212402603</v>
      </c>
      <c r="DI19" s="91">
        <f t="shared" si="96"/>
        <v>-0.74347090924857928</v>
      </c>
      <c r="DJ19" s="257">
        <f t="shared" si="97"/>
        <v>97.807233586154652</v>
      </c>
      <c r="DK19" s="92">
        <f t="shared" si="98"/>
        <v>3.5823318936722574E-2</v>
      </c>
      <c r="DL19" s="93">
        <f t="shared" si="99"/>
        <v>98.092012464754205</v>
      </c>
      <c r="DM19" s="260">
        <f t="shared" si="100"/>
        <v>23.171929289087103</v>
      </c>
      <c r="DN19" s="270">
        <f t="shared" si="101"/>
        <v>94.169008543716174</v>
      </c>
      <c r="DO19" s="260">
        <f t="shared" si="102"/>
        <v>24.755437193849794</v>
      </c>
      <c r="DP19" s="267">
        <f t="shared" si="103"/>
        <v>94.238600529075867</v>
      </c>
      <c r="DQ19" s="257">
        <f t="shared" si="104"/>
        <v>29.937570153123513</v>
      </c>
      <c r="DR19" s="267">
        <f t="shared" si="105"/>
        <v>93.405272864914394</v>
      </c>
      <c r="DS19" s="260">
        <f t="shared" si="106"/>
        <v>23.951223517272403</v>
      </c>
      <c r="DT19" s="269">
        <f t="shared" si="107"/>
        <v>94.453787422315727</v>
      </c>
      <c r="DU19" s="260">
        <f t="shared" si="108"/>
        <v>25.534731422035094</v>
      </c>
      <c r="DV19" s="93">
        <f t="shared" si="109"/>
        <v>94.523379407675421</v>
      </c>
      <c r="DW19" s="257">
        <f t="shared" si="110"/>
        <v>30.716864381308813</v>
      </c>
      <c r="DX19" s="93">
        <f t="shared" si="111"/>
        <v>93.690051743513948</v>
      </c>
    </row>
    <row r="20" spans="1:128" ht="15.75" thickBot="1" x14ac:dyDescent="0.3">
      <c r="A20" s="12" t="s">
        <v>316</v>
      </c>
      <c r="B20" s="21">
        <f>IF(AND(Vout6&lt;&gt;0,n1_Flyback&lt;&gt;0,IoutPri_FBB=0),((ABS(Vout6)+Vdiode6)*(n1_Flyback/Np))/(ABS(Vout1)+Vdiode1),0)</f>
        <v>0</v>
      </c>
      <c r="C20" s="12"/>
      <c r="L20" s="58">
        <v>16</v>
      </c>
      <c r="M20" s="62">
        <f t="shared" si="0"/>
        <v>21.48</v>
      </c>
      <c r="N20" s="42">
        <f t="shared" si="1"/>
        <v>1.1171350062234265E-4</v>
      </c>
      <c r="O20" s="19">
        <f t="shared" si="2"/>
        <v>1.0054215056010838E-4</v>
      </c>
      <c r="P20" s="43">
        <f t="shared" si="3"/>
        <v>9.1401955054643973E-5</v>
      </c>
      <c r="Q20" s="60">
        <f t="shared" si="4"/>
        <v>0.29523633390003856</v>
      </c>
      <c r="R20" s="63">
        <f t="shared" si="5"/>
        <v>0.31036623215394166</v>
      </c>
      <c r="S20" s="28">
        <f t="shared" si="6"/>
        <v>1.0512467352985957</v>
      </c>
      <c r="T20" s="12">
        <f t="shared" si="7"/>
        <v>0.26097433959558969</v>
      </c>
      <c r="U20" s="12">
        <f t="shared" si="60"/>
        <v>1.1817339050963906</v>
      </c>
      <c r="V20" s="55">
        <f t="shared" si="8"/>
        <v>1.4378216191872413</v>
      </c>
      <c r="W20" s="54">
        <f t="shared" si="61"/>
        <v>0.57266669330639641</v>
      </c>
      <c r="X20" s="55">
        <f t="shared" si="62"/>
        <v>0.48126909682738606</v>
      </c>
      <c r="Y20" s="54">
        <f t="shared" si="9"/>
        <v>0.60414439860157454</v>
      </c>
      <c r="Z20" s="55">
        <f t="shared" si="63"/>
        <v>0.33910242458829187</v>
      </c>
      <c r="AA20" s="54">
        <f t="shared" si="10"/>
        <v>0.60414439860157454</v>
      </c>
      <c r="AB20" s="55">
        <f t="shared" si="64"/>
        <v>0.33910242458829187</v>
      </c>
      <c r="AC20" s="54">
        <f t="shared" si="11"/>
        <v>0</v>
      </c>
      <c r="AD20" s="55">
        <f t="shared" si="65"/>
        <v>0</v>
      </c>
      <c r="AE20" s="54">
        <f t="shared" si="12"/>
        <v>0</v>
      </c>
      <c r="AF20" s="55">
        <f t="shared" si="66"/>
        <v>0</v>
      </c>
      <c r="AG20" s="54">
        <f t="shared" si="13"/>
        <v>0</v>
      </c>
      <c r="AH20" s="55">
        <f t="shared" si="67"/>
        <v>0</v>
      </c>
      <c r="AI20" s="54">
        <f t="shared" si="68"/>
        <v>0</v>
      </c>
      <c r="AJ20" s="177">
        <f t="shared" si="69"/>
        <v>0</v>
      </c>
      <c r="AK20" s="54">
        <f t="shared" si="14"/>
        <v>0.12907722819864592</v>
      </c>
      <c r="AL20" s="55">
        <f t="shared" si="15"/>
        <v>8.1614525909578808E-2</v>
      </c>
      <c r="AM20" s="179">
        <f t="shared" si="16"/>
        <v>2.2862774721222976E-2</v>
      </c>
      <c r="AN20" s="52">
        <f t="shared" si="17"/>
        <v>0</v>
      </c>
      <c r="AO20" s="74">
        <f t="shared" si="70"/>
        <v>0</v>
      </c>
      <c r="AP20" s="78">
        <v>0</v>
      </c>
      <c r="AQ20" s="87">
        <f t="shared" si="18"/>
        <v>0</v>
      </c>
      <c r="AR20" s="46">
        <f t="shared" si="19"/>
        <v>9.5407286572355243</v>
      </c>
      <c r="AS20" s="69">
        <f t="shared" si="20"/>
        <v>7.1555464929266427E-3</v>
      </c>
      <c r="AT20" s="42">
        <f t="shared" si="21"/>
        <v>12.162859955664922</v>
      </c>
      <c r="AU20" s="79">
        <f t="shared" si="22"/>
        <v>9.1221449667486919E-3</v>
      </c>
      <c r="AV20" s="83">
        <f t="shared" si="71"/>
        <v>1.0360960545646702E-2</v>
      </c>
      <c r="AW20" s="84">
        <f t="shared" si="72"/>
        <v>2.4913058254745608E-2</v>
      </c>
      <c r="AX20" s="42">
        <f t="shared" si="23"/>
        <v>4.1058732612055629E-2</v>
      </c>
      <c r="AY20" s="43">
        <f t="shared" si="73"/>
        <v>1.8885449274296438E-2</v>
      </c>
      <c r="AZ20" s="85">
        <f t="shared" si="24"/>
        <v>4.1058732612055629E-2</v>
      </c>
      <c r="BA20" s="86">
        <f t="shared" si="74"/>
        <v>1.8885449274296438E-2</v>
      </c>
      <c r="BB20" s="85">
        <f t="shared" si="25"/>
        <v>0</v>
      </c>
      <c r="BC20" s="86">
        <f t="shared" si="75"/>
        <v>0</v>
      </c>
      <c r="BD20" s="85">
        <f t="shared" si="26"/>
        <v>0</v>
      </c>
      <c r="BE20" s="86">
        <f t="shared" si="76"/>
        <v>0</v>
      </c>
      <c r="BF20" s="85">
        <f t="shared" si="27"/>
        <v>0</v>
      </c>
      <c r="BG20" s="86">
        <f t="shared" si="77"/>
        <v>0</v>
      </c>
      <c r="BH20" s="85">
        <f t="shared" si="28"/>
        <v>0</v>
      </c>
      <c r="BI20" s="86">
        <f t="shared" si="78"/>
        <v>0</v>
      </c>
      <c r="BJ20" s="85">
        <f t="shared" si="29"/>
        <v>3.1673879443585777E-3</v>
      </c>
      <c r="BK20" s="207">
        <f t="shared" si="30"/>
        <v>2.1097752039065335E-3</v>
      </c>
      <c r="BL20" s="85">
        <f t="shared" si="79"/>
        <v>0.1604395457213616</v>
      </c>
      <c r="BM20" s="176">
        <f t="shared" si="80"/>
        <v>0.1604395457213616</v>
      </c>
      <c r="BN20" s="176">
        <f t="shared" si="81"/>
        <v>0.1604395457213616</v>
      </c>
      <c r="BO20" s="176">
        <f t="shared" si="82"/>
        <v>0.16759509221428825</v>
      </c>
      <c r="BP20" s="86">
        <f t="shared" si="83"/>
        <v>0.16956169068811028</v>
      </c>
      <c r="BQ20" s="211">
        <f t="shared" si="84"/>
        <v>6.7429038643004088E-3</v>
      </c>
      <c r="BR20" s="237">
        <f t="shared" si="31"/>
        <v>2.5000000000000001E-3</v>
      </c>
      <c r="BS20" s="237">
        <f t="shared" si="32"/>
        <v>2.5000000000000001E-3</v>
      </c>
      <c r="BT20" s="237">
        <f t="shared" si="33"/>
        <v>0</v>
      </c>
      <c r="BU20" s="237">
        <f t="shared" si="34"/>
        <v>0</v>
      </c>
      <c r="BV20" s="237">
        <f t="shared" si="35"/>
        <v>0</v>
      </c>
      <c r="BW20" s="237">
        <f t="shared" si="36"/>
        <v>0</v>
      </c>
      <c r="BX20" s="212">
        <f t="shared" si="37"/>
        <v>1.0000000000000002E-4</v>
      </c>
      <c r="BY20" s="238">
        <f t="shared" si="85"/>
        <v>1.1842903864300409E-2</v>
      </c>
      <c r="BZ20" s="244">
        <f t="shared" si="86"/>
        <v>4.8163599030717205E-4</v>
      </c>
      <c r="CA20" s="243">
        <f t="shared" si="38"/>
        <v>0.10161350943396227</v>
      </c>
      <c r="CB20" s="243">
        <f t="shared" si="39"/>
        <v>0.23099999999999998</v>
      </c>
      <c r="CC20" s="238">
        <f t="shared" si="87"/>
        <v>0.33309514542426943</v>
      </c>
      <c r="CD20" s="244">
        <f t="shared" si="40"/>
        <v>0.15</v>
      </c>
      <c r="CE20" s="243">
        <f t="shared" si="41"/>
        <v>3.0000000000000002E-2</v>
      </c>
      <c r="CF20" s="243">
        <f t="shared" si="42"/>
        <v>0.15</v>
      </c>
      <c r="CG20" s="243">
        <f t="shared" si="43"/>
        <v>3.0000000000000002E-2</v>
      </c>
      <c r="CH20" s="243">
        <f t="shared" si="44"/>
        <v>0</v>
      </c>
      <c r="CI20" s="243">
        <f t="shared" si="45"/>
        <v>0</v>
      </c>
      <c r="CJ20" s="243">
        <f t="shared" si="46"/>
        <v>0</v>
      </c>
      <c r="CK20" s="243">
        <f t="shared" si="47"/>
        <v>0</v>
      </c>
      <c r="CL20" s="243">
        <f t="shared" si="48"/>
        <v>0</v>
      </c>
      <c r="CM20" s="243">
        <f t="shared" si="49"/>
        <v>0</v>
      </c>
      <c r="CN20" s="243">
        <f t="shared" si="50"/>
        <v>0</v>
      </c>
      <c r="CO20" s="243">
        <f t="shared" si="51"/>
        <v>0</v>
      </c>
      <c r="CP20" s="243">
        <f t="shared" si="52"/>
        <v>0.03</v>
      </c>
      <c r="CQ20" s="243">
        <f t="shared" si="53"/>
        <v>6.0000000000000005E-2</v>
      </c>
      <c r="CR20" s="238">
        <f t="shared" si="54"/>
        <v>0.39</v>
      </c>
      <c r="CS20" s="246">
        <f t="shared" si="55"/>
        <v>0.18903705495211479</v>
      </c>
      <c r="CT20" s="188">
        <f t="shared" si="88"/>
        <v>0.92397510424068463</v>
      </c>
      <c r="CU20" s="206">
        <f t="shared" si="56"/>
        <v>6.923975104240685</v>
      </c>
      <c r="CV20" s="227">
        <f t="shared" si="57"/>
        <v>0.86655424227698574</v>
      </c>
      <c r="CW20">
        <f t="shared" si="58"/>
        <v>29.968964346349747</v>
      </c>
      <c r="CX20">
        <f t="shared" si="59"/>
        <v>82.817711208586033</v>
      </c>
      <c r="DA20" s="22">
        <v>80</v>
      </c>
      <c r="DB20" s="22">
        <f t="shared" si="89"/>
        <v>502.6548245743669</v>
      </c>
      <c r="DC20" s="260">
        <f t="shared" si="90"/>
        <v>23.910845753646676</v>
      </c>
      <c r="DD20" s="93">
        <f t="shared" si="112"/>
        <v>-4.1566300013678639</v>
      </c>
      <c r="DE20" s="260">
        <f t="shared" si="113"/>
        <v>25.494351280682888</v>
      </c>
      <c r="DF20" s="93">
        <f t="shared" si="114"/>
        <v>-4.0770964153350393</v>
      </c>
      <c r="DG20" s="257">
        <f t="shared" si="115"/>
        <v>30.67341790849494</v>
      </c>
      <c r="DH20" s="93">
        <f t="shared" si="116"/>
        <v>-5.0279057123556878</v>
      </c>
      <c r="DI20" s="91">
        <f t="shared" si="96"/>
        <v>-1.8778095255453811</v>
      </c>
      <c r="DJ20" s="257">
        <f t="shared" si="97"/>
        <v>98.90467215760728</v>
      </c>
      <c r="DK20" s="92">
        <f t="shared" si="98"/>
        <v>-1.096684117656002</v>
      </c>
      <c r="DL20" s="93">
        <f t="shared" si="99"/>
        <v>99.228164909724299</v>
      </c>
      <c r="DM20" s="260">
        <f t="shared" si="100"/>
        <v>22.033036228101295</v>
      </c>
      <c r="DN20" s="270">
        <f t="shared" si="101"/>
        <v>94.748042156239435</v>
      </c>
      <c r="DO20" s="260">
        <f t="shared" si="102"/>
        <v>23.616541755137508</v>
      </c>
      <c r="DP20" s="267">
        <f t="shared" si="103"/>
        <v>94.827575742272245</v>
      </c>
      <c r="DQ20" s="257">
        <f t="shared" si="104"/>
        <v>28.79560838294956</v>
      </c>
      <c r="DR20" s="267">
        <f t="shared" si="105"/>
        <v>93.87676644525159</v>
      </c>
      <c r="DS20" s="260">
        <f t="shared" si="106"/>
        <v>22.814161635990672</v>
      </c>
      <c r="DT20" s="269">
        <f t="shared" si="107"/>
        <v>95.071534908356426</v>
      </c>
      <c r="DU20" s="260">
        <f t="shared" si="108"/>
        <v>24.397667163026888</v>
      </c>
      <c r="DV20" s="93">
        <f t="shared" si="109"/>
        <v>95.151068494389264</v>
      </c>
      <c r="DW20" s="257">
        <f t="shared" si="110"/>
        <v>29.576733790838936</v>
      </c>
      <c r="DX20" s="93">
        <f t="shared" si="111"/>
        <v>94.200259197368609</v>
      </c>
    </row>
    <row r="21" spans="1:128" ht="15.75" thickBot="1" x14ac:dyDescent="0.3">
      <c r="A21" s="12" t="s">
        <v>317</v>
      </c>
      <c r="B21" s="12">
        <f>IF(n6_Flyback_Calc&lt;&gt;0,n6_Flyback/Np,0)</f>
        <v>0</v>
      </c>
      <c r="C21" s="12"/>
      <c r="L21" s="58">
        <v>17</v>
      </c>
      <c r="M21" s="62">
        <f t="shared" si="0"/>
        <v>22.259999999999998</v>
      </c>
      <c r="N21" s="42">
        <f t="shared" si="1"/>
        <v>1.1406126860779145E-4</v>
      </c>
      <c r="O21" s="19">
        <f t="shared" si="2"/>
        <v>1.0265514174701231E-4</v>
      </c>
      <c r="P21" s="43">
        <f t="shared" si="3"/>
        <v>9.3322856133647549E-5</v>
      </c>
      <c r="Q21" s="60">
        <f t="shared" si="4"/>
        <v>0.28786919223904656</v>
      </c>
      <c r="R21" s="63">
        <f t="shared" si="5"/>
        <v>0.29949086552860138</v>
      </c>
      <c r="S21" s="28">
        <f t="shared" si="6"/>
        <v>1.0403713686732556</v>
      </c>
      <c r="T21" s="12">
        <f t="shared" si="7"/>
        <v>0.26370239585354638</v>
      </c>
      <c r="U21" s="12">
        <f t="shared" si="60"/>
        <v>1.1722225666000288</v>
      </c>
      <c r="V21" s="55">
        <f t="shared" si="8"/>
        <v>1.4212583772422902</v>
      </c>
      <c r="W21" s="54">
        <f t="shared" si="61"/>
        <v>0.55968732211964078</v>
      </c>
      <c r="X21" s="55">
        <f t="shared" si="62"/>
        <v>0.47281615878307681</v>
      </c>
      <c r="Y21" s="54">
        <f t="shared" si="9"/>
        <v>0.60137001159428705</v>
      </c>
      <c r="Z21" s="55">
        <f t="shared" si="63"/>
        <v>0.33413454003576604</v>
      </c>
      <c r="AA21" s="54">
        <f t="shared" si="10"/>
        <v>0.60137001159428705</v>
      </c>
      <c r="AB21" s="55">
        <f t="shared" si="64"/>
        <v>0.33413454003576604</v>
      </c>
      <c r="AC21" s="54">
        <f t="shared" si="11"/>
        <v>0</v>
      </c>
      <c r="AD21" s="55">
        <f t="shared" si="65"/>
        <v>0</v>
      </c>
      <c r="AE21" s="54">
        <f t="shared" si="12"/>
        <v>0</v>
      </c>
      <c r="AF21" s="55">
        <f t="shared" si="66"/>
        <v>0</v>
      </c>
      <c r="AG21" s="54">
        <f t="shared" si="13"/>
        <v>0</v>
      </c>
      <c r="AH21" s="55">
        <f t="shared" si="67"/>
        <v>0</v>
      </c>
      <c r="AI21" s="54">
        <f t="shared" si="68"/>
        <v>0</v>
      </c>
      <c r="AJ21" s="177">
        <f t="shared" si="69"/>
        <v>0</v>
      </c>
      <c r="AK21" s="54">
        <f t="shared" si="14"/>
        <v>0.12881175901142075</v>
      </c>
      <c r="AL21" s="55">
        <f t="shared" si="15"/>
        <v>8.1194022314554234E-2</v>
      </c>
      <c r="AM21" s="179">
        <f t="shared" si="16"/>
        <v>2.3101767320070573E-2</v>
      </c>
      <c r="AN21" s="52">
        <f t="shared" si="17"/>
        <v>0</v>
      </c>
      <c r="AO21" s="74">
        <f t="shared" si="70"/>
        <v>0</v>
      </c>
      <c r="AP21" s="78">
        <v>0</v>
      </c>
      <c r="AQ21" s="87">
        <f t="shared" si="18"/>
        <v>0</v>
      </c>
      <c r="AR21" s="46">
        <f t="shared" si="19"/>
        <v>9.8083243309291941</v>
      </c>
      <c r="AS21" s="69">
        <f t="shared" si="20"/>
        <v>7.3562432481968955E-3</v>
      </c>
      <c r="AT21" s="42">
        <f t="shared" si="21"/>
        <v>12.478021405264382</v>
      </c>
      <c r="AU21" s="79">
        <f t="shared" si="22"/>
        <v>9.3585160539482858E-3</v>
      </c>
      <c r="AV21" s="83">
        <f t="shared" si="71"/>
        <v>9.6475770110088128E-3</v>
      </c>
      <c r="AW21" s="84">
        <f t="shared" si="72"/>
        <v>2.4045605236915828E-2</v>
      </c>
      <c r="AX21" s="42">
        <f t="shared" si="23"/>
        <v>4.1058732612055629E-2</v>
      </c>
      <c r="AY21" s="43">
        <f t="shared" si="73"/>
        <v>1.833615511774412E-2</v>
      </c>
      <c r="AZ21" s="85">
        <f t="shared" si="24"/>
        <v>4.1058732612055629E-2</v>
      </c>
      <c r="BA21" s="86">
        <f t="shared" si="74"/>
        <v>1.833615511774412E-2</v>
      </c>
      <c r="BB21" s="85">
        <f t="shared" si="25"/>
        <v>0</v>
      </c>
      <c r="BC21" s="86">
        <f t="shared" si="75"/>
        <v>0</v>
      </c>
      <c r="BD21" s="85">
        <f t="shared" si="26"/>
        <v>0</v>
      </c>
      <c r="BE21" s="86">
        <f t="shared" si="76"/>
        <v>0</v>
      </c>
      <c r="BF21" s="85">
        <f t="shared" si="27"/>
        <v>0</v>
      </c>
      <c r="BG21" s="86">
        <f t="shared" si="77"/>
        <v>0</v>
      </c>
      <c r="BH21" s="85">
        <f t="shared" si="28"/>
        <v>0</v>
      </c>
      <c r="BI21" s="86">
        <f t="shared" si="78"/>
        <v>0</v>
      </c>
      <c r="BJ21" s="85">
        <f t="shared" si="29"/>
        <v>3.1673879443585777E-3</v>
      </c>
      <c r="BK21" s="207">
        <f t="shared" si="30"/>
        <v>2.0880907656463284E-3</v>
      </c>
      <c r="BL21" s="85">
        <f t="shared" si="79"/>
        <v>0.15773843641752905</v>
      </c>
      <c r="BM21" s="176">
        <f t="shared" si="80"/>
        <v>0.15773843641752905</v>
      </c>
      <c r="BN21" s="176">
        <f t="shared" si="81"/>
        <v>0.15773843641752905</v>
      </c>
      <c r="BO21" s="176">
        <f t="shared" si="82"/>
        <v>0.16509467966572594</v>
      </c>
      <c r="BP21" s="86">
        <f t="shared" si="83"/>
        <v>0.16709695247147732</v>
      </c>
      <c r="BQ21" s="211">
        <f t="shared" si="84"/>
        <v>6.2786344974549565E-3</v>
      </c>
      <c r="BR21" s="237">
        <f t="shared" si="31"/>
        <v>2.5000000000000001E-3</v>
      </c>
      <c r="BS21" s="237">
        <f t="shared" si="32"/>
        <v>2.5000000000000001E-3</v>
      </c>
      <c r="BT21" s="237">
        <f t="shared" si="33"/>
        <v>0</v>
      </c>
      <c r="BU21" s="237">
        <f t="shared" si="34"/>
        <v>0</v>
      </c>
      <c r="BV21" s="237">
        <f t="shared" si="35"/>
        <v>0</v>
      </c>
      <c r="BW21" s="237">
        <f t="shared" si="36"/>
        <v>0</v>
      </c>
      <c r="BX21" s="212">
        <f t="shared" si="37"/>
        <v>1.0000000000000002E-4</v>
      </c>
      <c r="BY21" s="238">
        <f t="shared" si="85"/>
        <v>1.1378634497454956E-2</v>
      </c>
      <c r="BZ21" s="244">
        <f t="shared" si="86"/>
        <v>4.4847389267535401E-4</v>
      </c>
      <c r="CA21" s="243">
        <f t="shared" si="38"/>
        <v>0.10421400000000003</v>
      </c>
      <c r="CB21" s="243">
        <f t="shared" si="39"/>
        <v>0.23099999999999998</v>
      </c>
      <c r="CC21" s="238">
        <f t="shared" si="87"/>
        <v>0.33566247389267534</v>
      </c>
      <c r="CD21" s="244">
        <f t="shared" si="40"/>
        <v>0.15</v>
      </c>
      <c r="CE21" s="243">
        <f t="shared" si="41"/>
        <v>3.0000000000000002E-2</v>
      </c>
      <c r="CF21" s="243">
        <f t="shared" si="42"/>
        <v>0.15</v>
      </c>
      <c r="CG21" s="243">
        <f t="shared" si="43"/>
        <v>3.0000000000000002E-2</v>
      </c>
      <c r="CH21" s="243">
        <f t="shared" si="44"/>
        <v>0</v>
      </c>
      <c r="CI21" s="243">
        <f t="shared" si="45"/>
        <v>0</v>
      </c>
      <c r="CJ21" s="243">
        <f t="shared" si="46"/>
        <v>0</v>
      </c>
      <c r="CK21" s="243">
        <f t="shared" si="47"/>
        <v>0</v>
      </c>
      <c r="CL21" s="243">
        <f t="shared" si="48"/>
        <v>0</v>
      </c>
      <c r="CM21" s="243">
        <f t="shared" si="49"/>
        <v>0</v>
      </c>
      <c r="CN21" s="243">
        <f t="shared" si="50"/>
        <v>0</v>
      </c>
      <c r="CO21" s="243">
        <f t="shared" si="51"/>
        <v>0</v>
      </c>
      <c r="CP21" s="243">
        <f t="shared" si="52"/>
        <v>0.03</v>
      </c>
      <c r="CQ21" s="243">
        <f t="shared" si="53"/>
        <v>6.0000000000000005E-2</v>
      </c>
      <c r="CR21" s="238">
        <f t="shared" si="54"/>
        <v>0.39</v>
      </c>
      <c r="CS21" s="246">
        <f t="shared" si="55"/>
        <v>0.18582441783275919</v>
      </c>
      <c r="CT21" s="188">
        <f t="shared" si="88"/>
        <v>0.92286552622288942</v>
      </c>
      <c r="CU21" s="206">
        <f t="shared" si="56"/>
        <v>6.9228655262228891</v>
      </c>
      <c r="CV21" s="227">
        <f t="shared" si="57"/>
        <v>0.86669313122908453</v>
      </c>
      <c r="CW21">
        <f t="shared" si="58"/>
        <v>30.748964346349744</v>
      </c>
      <c r="CX21">
        <f t="shared" si="59"/>
        <v>83.172351219888526</v>
      </c>
      <c r="DA21" s="22">
        <v>90</v>
      </c>
      <c r="DB21" s="22">
        <f t="shared" si="89"/>
        <v>565.48667764616278</v>
      </c>
      <c r="DC21" s="260">
        <f t="shared" si="90"/>
        <v>23.905689816654771</v>
      </c>
      <c r="DD21" s="93">
        <f t="shared" si="112"/>
        <v>-4.6745006632106234</v>
      </c>
      <c r="DE21" s="260">
        <f t="shared" si="113"/>
        <v>25.489192648940303</v>
      </c>
      <c r="DF21" s="93">
        <f t="shared" si="114"/>
        <v>-4.585025521112664</v>
      </c>
      <c r="DG21" s="257">
        <f t="shared" si="115"/>
        <v>30.6647944763418</v>
      </c>
      <c r="DH21" s="93">
        <f t="shared" si="116"/>
        <v>-5.6526963988492174</v>
      </c>
      <c r="DI21" s="91">
        <f t="shared" si="96"/>
        <v>-2.8721396240178727</v>
      </c>
      <c r="DJ21" s="257">
        <f t="shared" si="97"/>
        <v>99.995128993388974</v>
      </c>
      <c r="DK21" s="92">
        <f t="shared" si="98"/>
        <v>-2.0889655533238254</v>
      </c>
      <c r="DL21" s="93">
        <f t="shared" si="99"/>
        <v>100.35658036206051</v>
      </c>
      <c r="DM21" s="260">
        <f t="shared" si="100"/>
        <v>21.033550192636898</v>
      </c>
      <c r="DN21" s="270">
        <f t="shared" si="101"/>
        <v>95.320628330178351</v>
      </c>
      <c r="DO21" s="260">
        <f t="shared" si="102"/>
        <v>22.617053024922431</v>
      </c>
      <c r="DP21" s="267">
        <f t="shared" si="103"/>
        <v>95.410103472276305</v>
      </c>
      <c r="DQ21" s="257">
        <f t="shared" si="104"/>
        <v>27.792654852323928</v>
      </c>
      <c r="DR21" s="267">
        <f t="shared" si="105"/>
        <v>94.342432594539758</v>
      </c>
      <c r="DS21" s="260">
        <f t="shared" si="106"/>
        <v>21.816724263330947</v>
      </c>
      <c r="DT21" s="269">
        <f t="shared" si="107"/>
        <v>95.68207969884989</v>
      </c>
      <c r="DU21" s="260">
        <f t="shared" si="108"/>
        <v>23.400227095616479</v>
      </c>
      <c r="DV21" s="93">
        <f t="shared" si="109"/>
        <v>95.771554840947843</v>
      </c>
      <c r="DW21" s="257">
        <f t="shared" si="110"/>
        <v>28.575828923017976</v>
      </c>
      <c r="DX21" s="93">
        <f t="shared" si="111"/>
        <v>94.703883963211297</v>
      </c>
    </row>
    <row r="22" spans="1:128" ht="15.75" thickBot="1" x14ac:dyDescent="0.3">
      <c r="A22" s="12" t="s">
        <v>408</v>
      </c>
      <c r="B22" s="8">
        <f>IF(AND(VOUTAUX&lt;&gt;0,n1_Flyback&lt;&gt;0,IoutPri_FBB=0),((ABS(VOUTAUX)+VdiodeAux)*(n1_Flyback/Np))/(ABS(Vout1)+Vdiode1),0)</f>
        <v>1.1446603773584907</v>
      </c>
      <c r="C22" s="12"/>
      <c r="E22" s="311" t="s">
        <v>881</v>
      </c>
      <c r="F22" s="311"/>
      <c r="G22" s="311"/>
      <c r="H22" s="311"/>
      <c r="I22" t="s">
        <v>882</v>
      </c>
      <c r="J22" t="s">
        <v>883</v>
      </c>
      <c r="L22" s="58">
        <v>18</v>
      </c>
      <c r="M22" s="62">
        <f t="shared" si="0"/>
        <v>23.04</v>
      </c>
      <c r="N22" s="42">
        <f t="shared" si="1"/>
        <v>1.163173799409292E-4</v>
      </c>
      <c r="O22" s="19">
        <f t="shared" si="2"/>
        <v>1.0468564194683627E-4</v>
      </c>
      <c r="P22" s="43">
        <f t="shared" si="3"/>
        <v>9.5168765406214776E-5</v>
      </c>
      <c r="Q22" s="60">
        <f t="shared" si="4"/>
        <v>0.28086076936773474</v>
      </c>
      <c r="R22" s="63">
        <f t="shared" si="5"/>
        <v>0.28935185185185186</v>
      </c>
      <c r="S22" s="28">
        <f t="shared" si="6"/>
        <v>1.0302323549965058</v>
      </c>
      <c r="T22" s="12">
        <f t="shared" si="7"/>
        <v>0.26629761836348187</v>
      </c>
      <c r="U22" s="12">
        <f t="shared" si="60"/>
        <v>1.1633811641782468</v>
      </c>
      <c r="V22" s="55">
        <f t="shared" si="8"/>
        <v>1.4057446914478111</v>
      </c>
      <c r="W22" s="54">
        <f t="shared" si="61"/>
        <v>0.5475028733612497</v>
      </c>
      <c r="X22" s="55">
        <f t="shared" si="62"/>
        <v>0.46479554878325652</v>
      </c>
      <c r="Y22" s="54">
        <f t="shared" si="9"/>
        <v>0.59878232660632735</v>
      </c>
      <c r="Z22" s="55">
        <f t="shared" si="63"/>
        <v>0.32945451075389215</v>
      </c>
      <c r="AA22" s="54">
        <f t="shared" si="10"/>
        <v>0.59878232660632735</v>
      </c>
      <c r="AB22" s="55">
        <f t="shared" si="64"/>
        <v>0.32945451075389215</v>
      </c>
      <c r="AC22" s="54">
        <f t="shared" si="11"/>
        <v>0</v>
      </c>
      <c r="AD22" s="55">
        <f t="shared" si="65"/>
        <v>0</v>
      </c>
      <c r="AE22" s="54">
        <f t="shared" si="12"/>
        <v>0</v>
      </c>
      <c r="AF22" s="55">
        <f t="shared" si="66"/>
        <v>0</v>
      </c>
      <c r="AG22" s="54">
        <f t="shared" si="13"/>
        <v>0</v>
      </c>
      <c r="AH22" s="55">
        <f t="shared" si="67"/>
        <v>0</v>
      </c>
      <c r="AI22" s="54">
        <f t="shared" si="68"/>
        <v>0</v>
      </c>
      <c r="AJ22" s="177">
        <f t="shared" si="69"/>
        <v>0</v>
      </c>
      <c r="AK22" s="54">
        <f t="shared" si="14"/>
        <v>0.12857547295568383</v>
      </c>
      <c r="AL22" s="55">
        <f t="shared" si="15"/>
        <v>8.0818637985168876E-2</v>
      </c>
      <c r="AM22" s="179">
        <f t="shared" si="16"/>
        <v>2.3329122958513981E-2</v>
      </c>
      <c r="AN22" s="52">
        <f t="shared" si="17"/>
        <v>0</v>
      </c>
      <c r="AO22" s="74">
        <f t="shared" si="70"/>
        <v>0</v>
      </c>
      <c r="AP22" s="78">
        <v>0</v>
      </c>
      <c r="AQ22" s="87">
        <f t="shared" si="18"/>
        <v>0</v>
      </c>
      <c r="AR22" s="46">
        <f t="shared" si="19"/>
        <v>10.067191923442019</v>
      </c>
      <c r="AS22" s="69">
        <f t="shared" si="20"/>
        <v>7.5503939425815144E-3</v>
      </c>
      <c r="AT22" s="42">
        <f t="shared" si="21"/>
        <v>12.782288484438126</v>
      </c>
      <c r="AU22" s="79">
        <f t="shared" si="22"/>
        <v>9.586716363328595E-3</v>
      </c>
      <c r="AV22" s="83">
        <f t="shared" si="71"/>
        <v>9.0054127832862978E-3</v>
      </c>
      <c r="AW22" s="84">
        <f t="shared" si="72"/>
        <v>2.3236730050274147E-2</v>
      </c>
      <c r="AX22" s="42">
        <f t="shared" si="23"/>
        <v>4.1058732612055629E-2</v>
      </c>
      <c r="AY22" s="43">
        <f t="shared" si="73"/>
        <v>1.7826104458973327E-2</v>
      </c>
      <c r="AZ22" s="85">
        <f t="shared" si="24"/>
        <v>4.1058732612055629E-2</v>
      </c>
      <c r="BA22" s="86">
        <f t="shared" si="74"/>
        <v>1.7826104458973327E-2</v>
      </c>
      <c r="BB22" s="85">
        <f t="shared" si="25"/>
        <v>0</v>
      </c>
      <c r="BC22" s="86">
        <f t="shared" si="75"/>
        <v>0</v>
      </c>
      <c r="BD22" s="85">
        <f t="shared" si="26"/>
        <v>0</v>
      </c>
      <c r="BE22" s="86">
        <f t="shared" si="76"/>
        <v>0</v>
      </c>
      <c r="BF22" s="85">
        <f t="shared" si="27"/>
        <v>0</v>
      </c>
      <c r="BG22" s="86">
        <f t="shared" si="77"/>
        <v>0</v>
      </c>
      <c r="BH22" s="85">
        <f t="shared" si="28"/>
        <v>0</v>
      </c>
      <c r="BI22" s="86">
        <f t="shared" si="78"/>
        <v>0</v>
      </c>
      <c r="BJ22" s="85">
        <f t="shared" si="29"/>
        <v>3.1673879443585777E-3</v>
      </c>
      <c r="BK22" s="207">
        <f t="shared" si="30"/>
        <v>2.0688276580019174E-3</v>
      </c>
      <c r="BL22" s="85">
        <f t="shared" si="79"/>
        <v>0.15524803257797884</v>
      </c>
      <c r="BM22" s="176">
        <f t="shared" si="80"/>
        <v>0.15524803257797884</v>
      </c>
      <c r="BN22" s="176">
        <f t="shared" si="81"/>
        <v>0.15524803257797884</v>
      </c>
      <c r="BO22" s="176">
        <f t="shared" si="82"/>
        <v>0.16279842652056034</v>
      </c>
      <c r="BP22" s="86">
        <f t="shared" si="83"/>
        <v>0.16483474894130742</v>
      </c>
      <c r="BQ22" s="211">
        <f t="shared" si="84"/>
        <v>5.8607145919067228E-3</v>
      </c>
      <c r="BR22" s="237">
        <f t="shared" si="31"/>
        <v>2.5000000000000001E-3</v>
      </c>
      <c r="BS22" s="237">
        <f t="shared" si="32"/>
        <v>2.5000000000000001E-3</v>
      </c>
      <c r="BT22" s="237">
        <f t="shared" si="33"/>
        <v>0</v>
      </c>
      <c r="BU22" s="237">
        <f t="shared" si="34"/>
        <v>0</v>
      </c>
      <c r="BV22" s="237">
        <f t="shared" si="35"/>
        <v>0</v>
      </c>
      <c r="BW22" s="237">
        <f t="shared" si="36"/>
        <v>0</v>
      </c>
      <c r="BX22" s="212">
        <f t="shared" si="37"/>
        <v>1.0000000000000002E-4</v>
      </c>
      <c r="BY22" s="238">
        <f t="shared" si="85"/>
        <v>1.0960714591906723E-2</v>
      </c>
      <c r="BZ22" s="244">
        <f t="shared" si="86"/>
        <v>4.1862247085048014E-4</v>
      </c>
      <c r="CA22" s="243">
        <f t="shared" si="38"/>
        <v>0.10681449056603773</v>
      </c>
      <c r="CB22" s="243">
        <f t="shared" si="39"/>
        <v>0.23099999999999998</v>
      </c>
      <c r="CC22" s="238">
        <f t="shared" si="87"/>
        <v>0.33823311303688819</v>
      </c>
      <c r="CD22" s="244">
        <f t="shared" si="40"/>
        <v>0.15</v>
      </c>
      <c r="CE22" s="243">
        <f t="shared" si="41"/>
        <v>3.0000000000000002E-2</v>
      </c>
      <c r="CF22" s="243">
        <f t="shared" si="42"/>
        <v>0.15</v>
      </c>
      <c r="CG22" s="243">
        <f t="shared" si="43"/>
        <v>3.0000000000000002E-2</v>
      </c>
      <c r="CH22" s="243">
        <f t="shared" si="44"/>
        <v>0</v>
      </c>
      <c r="CI22" s="243">
        <f t="shared" si="45"/>
        <v>0</v>
      </c>
      <c r="CJ22" s="243">
        <f t="shared" si="46"/>
        <v>0</v>
      </c>
      <c r="CK22" s="243">
        <f t="shared" si="47"/>
        <v>0</v>
      </c>
      <c r="CL22" s="243">
        <f t="shared" si="48"/>
        <v>0</v>
      </c>
      <c r="CM22" s="243">
        <f t="shared" si="49"/>
        <v>0</v>
      </c>
      <c r="CN22" s="243">
        <f t="shared" si="50"/>
        <v>0</v>
      </c>
      <c r="CO22" s="243">
        <f t="shared" si="51"/>
        <v>0</v>
      </c>
      <c r="CP22" s="243">
        <f t="shared" si="52"/>
        <v>0.03</v>
      </c>
      <c r="CQ22" s="243">
        <f t="shared" si="53"/>
        <v>6.0000000000000005E-2</v>
      </c>
      <c r="CR22" s="238">
        <f t="shared" si="54"/>
        <v>0.39</v>
      </c>
      <c r="CS22" s="246">
        <f t="shared" si="55"/>
        <v>0.18284941313418179</v>
      </c>
      <c r="CT22" s="188">
        <f t="shared" si="88"/>
        <v>0.92204324076297672</v>
      </c>
      <c r="CU22" s="206">
        <f t="shared" si="56"/>
        <v>6.9220432407629771</v>
      </c>
      <c r="CV22" s="227">
        <f t="shared" si="57"/>
        <v>0.86679608770237249</v>
      </c>
      <c r="CW22">
        <f t="shared" si="58"/>
        <v>31.528964346349746</v>
      </c>
      <c r="CX22">
        <f t="shared" si="59"/>
        <v>83.556951683257807</v>
      </c>
      <c r="DA22" s="22">
        <v>100</v>
      </c>
      <c r="DB22" s="22">
        <f t="shared" si="89"/>
        <v>628.31853071795865</v>
      </c>
      <c r="DC22" s="260">
        <f t="shared" si="90"/>
        <v>23.899934532786496</v>
      </c>
      <c r="DD22" s="93">
        <f t="shared" si="112"/>
        <v>-5.1917716659379405</v>
      </c>
      <c r="DE22" s="260">
        <f t="shared" si="113"/>
        <v>25.483434353299511</v>
      </c>
      <c r="DF22" s="93">
        <f t="shared" si="114"/>
        <v>-5.0923550179585515</v>
      </c>
      <c r="DG22" s="257">
        <f t="shared" si="115"/>
        <v>30.655176738833376</v>
      </c>
      <c r="DH22" s="93">
        <f t="shared" si="116"/>
        <v>-6.2761936380758883</v>
      </c>
      <c r="DI22" s="91">
        <f t="shared" si="96"/>
        <v>-3.7554135900705967</v>
      </c>
      <c r="DJ22" s="257">
        <f t="shared" si="97"/>
        <v>101.07783456632013</v>
      </c>
      <c r="DK22" s="92">
        <f t="shared" si="98"/>
        <v>-2.9699826941727903</v>
      </c>
      <c r="DL22" s="93">
        <f t="shared" si="99"/>
        <v>101.47641414055499</v>
      </c>
      <c r="DM22" s="260">
        <f t="shared" si="100"/>
        <v>20.1445209427159</v>
      </c>
      <c r="DN22" s="270">
        <f t="shared" si="101"/>
        <v>95.8860629003822</v>
      </c>
      <c r="DO22" s="260">
        <f t="shared" si="102"/>
        <v>21.728020763228916</v>
      </c>
      <c r="DP22" s="267">
        <f t="shared" si="103"/>
        <v>95.985479548361582</v>
      </c>
      <c r="DQ22" s="257">
        <f t="shared" si="104"/>
        <v>26.89976314876278</v>
      </c>
      <c r="DR22" s="267">
        <f t="shared" si="105"/>
        <v>94.80164092824424</v>
      </c>
      <c r="DS22" s="260">
        <f t="shared" si="106"/>
        <v>20.929951838613704</v>
      </c>
      <c r="DT22" s="269">
        <f t="shared" si="107"/>
        <v>96.284642474617044</v>
      </c>
      <c r="DU22" s="260">
        <f t="shared" si="108"/>
        <v>22.513451659126723</v>
      </c>
      <c r="DV22" s="93">
        <f t="shared" si="109"/>
        <v>96.38405912259644</v>
      </c>
      <c r="DW22" s="257">
        <f t="shared" si="110"/>
        <v>27.685194044660584</v>
      </c>
      <c r="DX22" s="93">
        <f t="shared" si="111"/>
        <v>95.200220502479112</v>
      </c>
    </row>
    <row r="23" spans="1:128" ht="15.75" thickBot="1" x14ac:dyDescent="0.3">
      <c r="A23" s="12" t="s">
        <v>409</v>
      </c>
      <c r="B23" s="12">
        <f>IF(nAUX_Flyback_Calc&lt;&gt;0,nAux_Flyback/Np,0)</f>
        <v>1.1890000000000001</v>
      </c>
      <c r="C23" s="12"/>
      <c r="E23" s="12"/>
      <c r="F23" s="12" t="s">
        <v>10</v>
      </c>
      <c r="G23" s="12" t="s">
        <v>713</v>
      </c>
      <c r="H23" s="12" t="s">
        <v>714</v>
      </c>
      <c r="I23" s="12"/>
      <c r="J23" s="12"/>
      <c r="L23" s="58">
        <v>19</v>
      </c>
      <c r="M23" s="62">
        <f t="shared" si="0"/>
        <v>23.82</v>
      </c>
      <c r="N23" s="42">
        <f t="shared" si="1"/>
        <v>1.1848679258507289E-4</v>
      </c>
      <c r="O23" s="19">
        <f t="shared" si="2"/>
        <v>1.066381133265656E-4</v>
      </c>
      <c r="P23" s="43">
        <f t="shared" si="3"/>
        <v>9.6943739387786887E-5</v>
      </c>
      <c r="Q23" s="60">
        <f t="shared" si="4"/>
        <v>0.27418548803464876</v>
      </c>
      <c r="R23" s="63">
        <f t="shared" si="5"/>
        <v>0.27987685418415892</v>
      </c>
      <c r="S23" s="28">
        <f t="shared" si="6"/>
        <v>1.0207573573288129</v>
      </c>
      <c r="T23" s="12">
        <f t="shared" si="7"/>
        <v>0.26876947839445819</v>
      </c>
      <c r="U23" s="12">
        <f t="shared" si="60"/>
        <v>1.1551420965260419</v>
      </c>
      <c r="V23" s="55">
        <f t="shared" si="8"/>
        <v>1.3911804028874468</v>
      </c>
      <c r="W23" s="54">
        <f t="shared" si="61"/>
        <v>0.5360381393978243</v>
      </c>
      <c r="X23" s="55">
        <f t="shared" si="62"/>
        <v>0.45717155793100295</v>
      </c>
      <c r="Y23" s="54">
        <f t="shared" si="9"/>
        <v>0.59636355779399997</v>
      </c>
      <c r="Z23" s="55">
        <f t="shared" si="63"/>
        <v>0.32503767945380968</v>
      </c>
      <c r="AA23" s="54">
        <f t="shared" si="10"/>
        <v>0.59636355779399997</v>
      </c>
      <c r="AB23" s="55">
        <f t="shared" si="64"/>
        <v>0.32503767945380968</v>
      </c>
      <c r="AC23" s="54">
        <f t="shared" si="11"/>
        <v>0</v>
      </c>
      <c r="AD23" s="55">
        <f t="shared" si="65"/>
        <v>0</v>
      </c>
      <c r="AE23" s="54">
        <f t="shared" si="12"/>
        <v>0</v>
      </c>
      <c r="AF23" s="55">
        <f t="shared" si="66"/>
        <v>0</v>
      </c>
      <c r="AG23" s="54">
        <f t="shared" si="13"/>
        <v>0</v>
      </c>
      <c r="AH23" s="55">
        <f t="shared" si="67"/>
        <v>0</v>
      </c>
      <c r="AI23" s="54">
        <f t="shared" si="68"/>
        <v>0</v>
      </c>
      <c r="AJ23" s="177">
        <f t="shared" si="69"/>
        <v>0</v>
      </c>
      <c r="AK23" s="54">
        <f t="shared" si="14"/>
        <v>0.12836500623069022</v>
      </c>
      <c r="AL23" s="55">
        <f t="shared" si="15"/>
        <v>8.0483382288551578E-2</v>
      </c>
      <c r="AM23" s="179">
        <f t="shared" si="16"/>
        <v>2.3545671371350975E-2</v>
      </c>
      <c r="AN23" s="52">
        <f t="shared" si="17"/>
        <v>0</v>
      </c>
      <c r="AO23" s="74">
        <f t="shared" si="70"/>
        <v>0</v>
      </c>
      <c r="AP23" s="78">
        <v>0</v>
      </c>
      <c r="AQ23" s="87">
        <f t="shared" si="18"/>
        <v>0</v>
      </c>
      <c r="AR23" s="46">
        <f t="shared" si="19"/>
        <v>10.317679664405119</v>
      </c>
      <c r="AS23" s="69">
        <f t="shared" si="20"/>
        <v>7.7382597483038398E-3</v>
      </c>
      <c r="AT23" s="42">
        <f t="shared" si="21"/>
        <v>13.076146380486174</v>
      </c>
      <c r="AU23" s="79">
        <f t="shared" si="22"/>
        <v>9.8071097853646306E-3</v>
      </c>
      <c r="AV23" s="83">
        <f t="shared" si="71"/>
        <v>8.4252939068978523E-3</v>
      </c>
      <c r="AW23" s="84">
        <f t="shared" si="72"/>
        <v>2.2480682891763217E-2</v>
      </c>
      <c r="AX23" s="42">
        <f t="shared" si="23"/>
        <v>4.1058732612055629E-2</v>
      </c>
      <c r="AY23" s="43">
        <f t="shared" si="73"/>
        <v>1.735133714537385E-2</v>
      </c>
      <c r="AZ23" s="85">
        <f t="shared" si="24"/>
        <v>4.1058732612055629E-2</v>
      </c>
      <c r="BA23" s="86">
        <f t="shared" si="74"/>
        <v>1.735133714537385E-2</v>
      </c>
      <c r="BB23" s="85">
        <f t="shared" si="25"/>
        <v>0</v>
      </c>
      <c r="BC23" s="86">
        <f t="shared" si="75"/>
        <v>0</v>
      </c>
      <c r="BD23" s="85">
        <f t="shared" si="26"/>
        <v>0</v>
      </c>
      <c r="BE23" s="86">
        <f t="shared" si="76"/>
        <v>0</v>
      </c>
      <c r="BF23" s="85">
        <f t="shared" si="27"/>
        <v>0</v>
      </c>
      <c r="BG23" s="86">
        <f t="shared" si="77"/>
        <v>0</v>
      </c>
      <c r="BH23" s="85">
        <f t="shared" si="28"/>
        <v>0</v>
      </c>
      <c r="BI23" s="86">
        <f t="shared" si="78"/>
        <v>0</v>
      </c>
      <c r="BJ23" s="85">
        <f t="shared" si="29"/>
        <v>3.1673879443585777E-3</v>
      </c>
      <c r="BK23" s="207">
        <f t="shared" si="30"/>
        <v>2.0516992408134939E-3</v>
      </c>
      <c r="BL23" s="85">
        <f t="shared" si="79"/>
        <v>0.15294520349869209</v>
      </c>
      <c r="BM23" s="176">
        <f t="shared" si="80"/>
        <v>0.15294520349869209</v>
      </c>
      <c r="BN23" s="176">
        <f t="shared" si="81"/>
        <v>0.15294520349869209</v>
      </c>
      <c r="BO23" s="176">
        <f t="shared" si="82"/>
        <v>0.16068346324699592</v>
      </c>
      <c r="BP23" s="86">
        <f t="shared" si="83"/>
        <v>0.16275231328405673</v>
      </c>
      <c r="BQ23" s="211">
        <f t="shared" si="84"/>
        <v>5.4831737455614676E-3</v>
      </c>
      <c r="BR23" s="237">
        <f t="shared" si="31"/>
        <v>2.5000000000000001E-3</v>
      </c>
      <c r="BS23" s="237">
        <f t="shared" si="32"/>
        <v>2.5000000000000001E-3</v>
      </c>
      <c r="BT23" s="237">
        <f t="shared" si="33"/>
        <v>0</v>
      </c>
      <c r="BU23" s="237">
        <f t="shared" si="34"/>
        <v>0</v>
      </c>
      <c r="BV23" s="237">
        <f t="shared" si="35"/>
        <v>0</v>
      </c>
      <c r="BW23" s="237">
        <f t="shared" si="36"/>
        <v>0</v>
      </c>
      <c r="BX23" s="212">
        <f t="shared" si="37"/>
        <v>1.0000000000000002E-4</v>
      </c>
      <c r="BY23" s="238">
        <f t="shared" si="85"/>
        <v>1.0583173745561468E-2</v>
      </c>
      <c r="BZ23" s="244">
        <f t="shared" si="86"/>
        <v>3.9165526754010479E-4</v>
      </c>
      <c r="CA23" s="243">
        <f t="shared" si="38"/>
        <v>0.10941498113207547</v>
      </c>
      <c r="CB23" s="243">
        <f t="shared" si="39"/>
        <v>0.23099999999999998</v>
      </c>
      <c r="CC23" s="238">
        <f t="shared" si="87"/>
        <v>0.34080663639961556</v>
      </c>
      <c r="CD23" s="244">
        <f t="shared" si="40"/>
        <v>0.15</v>
      </c>
      <c r="CE23" s="243">
        <f t="shared" si="41"/>
        <v>3.0000000000000002E-2</v>
      </c>
      <c r="CF23" s="243">
        <f t="shared" si="42"/>
        <v>0.15</v>
      </c>
      <c r="CG23" s="243">
        <f t="shared" si="43"/>
        <v>3.0000000000000002E-2</v>
      </c>
      <c r="CH23" s="243">
        <f t="shared" si="44"/>
        <v>0</v>
      </c>
      <c r="CI23" s="243">
        <f t="shared" si="45"/>
        <v>0</v>
      </c>
      <c r="CJ23" s="243">
        <f t="shared" si="46"/>
        <v>0</v>
      </c>
      <c r="CK23" s="243">
        <f t="shared" si="47"/>
        <v>0</v>
      </c>
      <c r="CL23" s="243">
        <f t="shared" si="48"/>
        <v>0</v>
      </c>
      <c r="CM23" s="243">
        <f t="shared" si="49"/>
        <v>0</v>
      </c>
      <c r="CN23" s="243">
        <f t="shared" si="50"/>
        <v>0</v>
      </c>
      <c r="CO23" s="243">
        <f t="shared" si="51"/>
        <v>0</v>
      </c>
      <c r="CP23" s="243">
        <f t="shared" si="52"/>
        <v>0.03</v>
      </c>
      <c r="CQ23" s="243">
        <f t="shared" si="53"/>
        <v>6.0000000000000005E-2</v>
      </c>
      <c r="CR23" s="238">
        <f t="shared" si="54"/>
        <v>0.39</v>
      </c>
      <c r="CS23" s="246">
        <f t="shared" si="55"/>
        <v>0.18008552314200901</v>
      </c>
      <c r="CT23" s="188">
        <f t="shared" si="88"/>
        <v>0.921475333287186</v>
      </c>
      <c r="CU23" s="206">
        <f t="shared" si="56"/>
        <v>6.9214753332871863</v>
      </c>
      <c r="CV23" s="227">
        <f t="shared" si="57"/>
        <v>0.86686720837455411</v>
      </c>
      <c r="CW23">
        <f t="shared" si="58"/>
        <v>32.308964346349747</v>
      </c>
      <c r="CX23">
        <f t="shared" si="59"/>
        <v>83.968489376426817</v>
      </c>
      <c r="DA23" s="22">
        <v>200</v>
      </c>
      <c r="DB23" s="22">
        <f t="shared" si="89"/>
        <v>1256.6370614359173</v>
      </c>
      <c r="DC23" s="260">
        <f t="shared" si="90"/>
        <v>23.810058184559928</v>
      </c>
      <c r="DD23" s="93">
        <f t="shared" si="112"/>
        <v>-10.317539867726573</v>
      </c>
      <c r="DE23" s="260">
        <f t="shared" si="113"/>
        <v>25.393510451826643</v>
      </c>
      <c r="DF23" s="93">
        <f t="shared" si="114"/>
        <v>-10.118712147611454</v>
      </c>
      <c r="DG23" s="257">
        <f t="shared" si="115"/>
        <v>30.506074285293074</v>
      </c>
      <c r="DH23" s="93">
        <f t="shared" si="116"/>
        <v>-12.4108987067518</v>
      </c>
      <c r="DI23" s="91">
        <f t="shared" si="96"/>
        <v>-9.3014769688044137</v>
      </c>
      <c r="DJ23" s="257">
        <f t="shared" si="97"/>
        <v>111.3358597267499</v>
      </c>
      <c r="DK23" s="92">
        <f t="shared" si="98"/>
        <v>-8.4844589229356018</v>
      </c>
      <c r="DL23" s="93">
        <f t="shared" si="99"/>
        <v>112.04811841315853</v>
      </c>
      <c r="DM23" s="260">
        <f t="shared" si="100"/>
        <v>14.508581215755514</v>
      </c>
      <c r="DN23" s="270">
        <f t="shared" si="101"/>
        <v>101.01831985902331</v>
      </c>
      <c r="DO23" s="260">
        <f t="shared" si="102"/>
        <v>16.092033483022227</v>
      </c>
      <c r="DP23" s="267">
        <f t="shared" si="103"/>
        <v>101.21714757913844</v>
      </c>
      <c r="DQ23" s="257">
        <f t="shared" si="104"/>
        <v>21.204597316488659</v>
      </c>
      <c r="DR23" s="267">
        <f t="shared" si="105"/>
        <v>98.924961019998108</v>
      </c>
      <c r="DS23" s="260">
        <f t="shared" si="106"/>
        <v>15.325599261624326</v>
      </c>
      <c r="DT23" s="269">
        <f t="shared" si="107"/>
        <v>101.730578545432</v>
      </c>
      <c r="DU23" s="260">
        <f t="shared" si="108"/>
        <v>16.909051528891041</v>
      </c>
      <c r="DV23" s="93">
        <f t="shared" si="109"/>
        <v>101.92940626554707</v>
      </c>
      <c r="DW23" s="257">
        <f t="shared" si="110"/>
        <v>22.021615362357473</v>
      </c>
      <c r="DX23" s="93">
        <f t="shared" si="111"/>
        <v>99.637219706406739</v>
      </c>
    </row>
    <row r="24" spans="1:128" ht="15.75" thickBot="1" x14ac:dyDescent="0.3">
      <c r="A24" s="310" t="s">
        <v>25</v>
      </c>
      <c r="B24" s="310"/>
      <c r="C24" s="12"/>
      <c r="E24" s="12" t="s">
        <v>285</v>
      </c>
      <c r="F24" s="265">
        <f>IF(AND(VinMax&lt;=Parts!E8,VinMin&gt;=Parts!D8),1,0)</f>
        <v>0</v>
      </c>
      <c r="G24" s="265">
        <f>IF(AND(Fsw_Input&gt;Parts!I8,Fsw_Input&lt;Parts!J8),1,0)</f>
        <v>1</v>
      </c>
      <c r="H24" s="265">
        <f>1</f>
        <v>1</v>
      </c>
      <c r="I24" s="12">
        <f>PRODUCT(F24:H24)</f>
        <v>0</v>
      </c>
      <c r="J24" s="12"/>
      <c r="L24" s="58">
        <v>20</v>
      </c>
      <c r="M24" s="62">
        <f t="shared" si="0"/>
        <v>24.6</v>
      </c>
      <c r="N24" s="42">
        <f t="shared" si="1"/>
        <v>1.2057414716943337E-4</v>
      </c>
      <c r="O24" s="19">
        <f t="shared" si="2"/>
        <v>1.0851673245249005E-4</v>
      </c>
      <c r="P24" s="43">
        <f t="shared" si="3"/>
        <v>9.865157495680912E-5</v>
      </c>
      <c r="Q24" s="60">
        <f t="shared" si="4"/>
        <v>0.26782014613884197</v>
      </c>
      <c r="R24" s="63">
        <f t="shared" si="5"/>
        <v>0.27100271002710025</v>
      </c>
      <c r="S24" s="28">
        <f t="shared" si="6"/>
        <v>1.0118832131717543</v>
      </c>
      <c r="T24" s="12">
        <f t="shared" si="7"/>
        <v>0.27112656769611171</v>
      </c>
      <c r="U24" s="12">
        <f t="shared" si="60"/>
        <v>1.1474464970198102</v>
      </c>
      <c r="V24" s="55">
        <f t="shared" si="8"/>
        <v>1.3774778081038808</v>
      </c>
      <c r="W24" s="54">
        <f t="shared" si="61"/>
        <v>0.52522728984919365</v>
      </c>
      <c r="X24" s="55">
        <f t="shared" si="62"/>
        <v>0.44991247722228855</v>
      </c>
      <c r="Y24" s="54">
        <f t="shared" si="9"/>
        <v>0.59409808224919225</v>
      </c>
      <c r="Z24" s="55">
        <f t="shared" si="63"/>
        <v>0.32086216874565937</v>
      </c>
      <c r="AA24" s="54">
        <f t="shared" si="10"/>
        <v>0.59409808224919225</v>
      </c>
      <c r="AB24" s="55">
        <f t="shared" si="64"/>
        <v>0.32086216874565937</v>
      </c>
      <c r="AC24" s="54">
        <f t="shared" si="11"/>
        <v>0</v>
      </c>
      <c r="AD24" s="55">
        <f t="shared" si="65"/>
        <v>0</v>
      </c>
      <c r="AE24" s="54">
        <f t="shared" si="12"/>
        <v>0</v>
      </c>
      <c r="AF24" s="55">
        <f t="shared" si="66"/>
        <v>0</v>
      </c>
      <c r="AG24" s="54">
        <f t="shared" si="13"/>
        <v>0</v>
      </c>
      <c r="AH24" s="55">
        <f t="shared" si="67"/>
        <v>0</v>
      </c>
      <c r="AI24" s="54">
        <f t="shared" si="68"/>
        <v>0</v>
      </c>
      <c r="AJ24" s="177">
        <f t="shared" si="69"/>
        <v>0</v>
      </c>
      <c r="AK24" s="54">
        <f t="shared" si="14"/>
        <v>0.12817744101357334</v>
      </c>
      <c r="AL24" s="55">
        <f t="shared" si="15"/>
        <v>8.0183891055423784E-2</v>
      </c>
      <c r="AM24" s="179">
        <f t="shared" si="16"/>
        <v>2.3752165242683369E-2</v>
      </c>
      <c r="AN24" s="52">
        <f t="shared" si="17"/>
        <v>0</v>
      </c>
      <c r="AO24" s="74">
        <f t="shared" si="70"/>
        <v>0</v>
      </c>
      <c r="AP24" s="78">
        <v>0</v>
      </c>
      <c r="AQ24" s="87">
        <f t="shared" si="18"/>
        <v>0</v>
      </c>
      <c r="AR24" s="46">
        <f t="shared" si="19"/>
        <v>10.560125993692173</v>
      </c>
      <c r="AS24" s="69">
        <f t="shared" si="20"/>
        <v>7.9200944952691303E-3</v>
      </c>
      <c r="AT24" s="42">
        <f t="shared" si="21"/>
        <v>13.360059977265816</v>
      </c>
      <c r="AU24" s="79">
        <f t="shared" si="22"/>
        <v>1.0020044982949361E-2</v>
      </c>
      <c r="AV24" s="83">
        <f t="shared" si="71"/>
        <v>7.8994773787761079E-3</v>
      </c>
      <c r="AW24" s="84">
        <f t="shared" si="72"/>
        <v>2.1772443235411533E-2</v>
      </c>
      <c r="AX24" s="42">
        <f t="shared" si="23"/>
        <v>4.1058732612055629E-2</v>
      </c>
      <c r="AY24" s="43">
        <f t="shared" si="73"/>
        <v>1.6908401822807059E-2</v>
      </c>
      <c r="AZ24" s="85">
        <f t="shared" si="24"/>
        <v>4.1058732612055629E-2</v>
      </c>
      <c r="BA24" s="86">
        <f t="shared" si="74"/>
        <v>1.6908401822807059E-2</v>
      </c>
      <c r="BB24" s="85">
        <f t="shared" si="25"/>
        <v>0</v>
      </c>
      <c r="BC24" s="86">
        <f t="shared" si="75"/>
        <v>0</v>
      </c>
      <c r="BD24" s="85">
        <f t="shared" si="26"/>
        <v>0</v>
      </c>
      <c r="BE24" s="86">
        <f t="shared" si="76"/>
        <v>0</v>
      </c>
      <c r="BF24" s="85">
        <f t="shared" si="27"/>
        <v>0</v>
      </c>
      <c r="BG24" s="86">
        <f t="shared" si="77"/>
        <v>0</v>
      </c>
      <c r="BH24" s="85">
        <f t="shared" si="28"/>
        <v>0</v>
      </c>
      <c r="BI24" s="86">
        <f t="shared" si="78"/>
        <v>0</v>
      </c>
      <c r="BJ24" s="85">
        <f t="shared" si="29"/>
        <v>3.1673879443585777E-3</v>
      </c>
      <c r="BK24" s="207">
        <f t="shared" si="30"/>
        <v>2.0364582641957014E-3</v>
      </c>
      <c r="BL24" s="85">
        <f t="shared" si="79"/>
        <v>0.15081003569246731</v>
      </c>
      <c r="BM24" s="176">
        <f t="shared" si="80"/>
        <v>0.15081003569246731</v>
      </c>
      <c r="BN24" s="176">
        <f t="shared" si="81"/>
        <v>0.15081003569246731</v>
      </c>
      <c r="BO24" s="176">
        <f t="shared" si="82"/>
        <v>0.15873013018773643</v>
      </c>
      <c r="BP24" s="86">
        <f t="shared" si="83"/>
        <v>0.16083008067541668</v>
      </c>
      <c r="BQ24" s="211">
        <f t="shared" si="84"/>
        <v>5.1409728189422809E-3</v>
      </c>
      <c r="BR24" s="237">
        <f t="shared" si="31"/>
        <v>2.5000000000000001E-3</v>
      </c>
      <c r="BS24" s="237">
        <f t="shared" si="32"/>
        <v>2.5000000000000001E-3</v>
      </c>
      <c r="BT24" s="237">
        <f t="shared" si="33"/>
        <v>0</v>
      </c>
      <c r="BU24" s="237">
        <f t="shared" si="34"/>
        <v>0</v>
      </c>
      <c r="BV24" s="237">
        <f t="shared" si="35"/>
        <v>0</v>
      </c>
      <c r="BW24" s="237">
        <f t="shared" si="36"/>
        <v>0</v>
      </c>
      <c r="BX24" s="212">
        <f t="shared" si="37"/>
        <v>1.0000000000000002E-4</v>
      </c>
      <c r="BY24" s="238">
        <f t="shared" si="85"/>
        <v>1.0240972818942281E-2</v>
      </c>
      <c r="BZ24" s="244">
        <f t="shared" si="86"/>
        <v>3.6721234421016293E-4</v>
      </c>
      <c r="CA24" s="243">
        <f t="shared" si="38"/>
        <v>0.11201547169811324</v>
      </c>
      <c r="CB24" s="243">
        <f t="shared" si="39"/>
        <v>0.23099999999999998</v>
      </c>
      <c r="CC24" s="238">
        <f t="shared" si="87"/>
        <v>0.34338268404232342</v>
      </c>
      <c r="CD24" s="244">
        <f t="shared" si="40"/>
        <v>0.15</v>
      </c>
      <c r="CE24" s="243">
        <f t="shared" si="41"/>
        <v>3.0000000000000002E-2</v>
      </c>
      <c r="CF24" s="243">
        <f t="shared" si="42"/>
        <v>0.15</v>
      </c>
      <c r="CG24" s="243">
        <f t="shared" si="43"/>
        <v>3.0000000000000002E-2</v>
      </c>
      <c r="CH24" s="243">
        <f t="shared" si="44"/>
        <v>0</v>
      </c>
      <c r="CI24" s="243">
        <f t="shared" si="45"/>
        <v>0</v>
      </c>
      <c r="CJ24" s="243">
        <f t="shared" si="46"/>
        <v>0</v>
      </c>
      <c r="CK24" s="243">
        <f t="shared" si="47"/>
        <v>0</v>
      </c>
      <c r="CL24" s="243">
        <f t="shared" si="48"/>
        <v>0</v>
      </c>
      <c r="CM24" s="243">
        <f t="shared" si="49"/>
        <v>0</v>
      </c>
      <c r="CN24" s="243">
        <f t="shared" si="50"/>
        <v>0</v>
      </c>
      <c r="CO24" s="243">
        <f t="shared" si="51"/>
        <v>0</v>
      </c>
      <c r="CP24" s="243">
        <f t="shared" si="52"/>
        <v>0.03</v>
      </c>
      <c r="CQ24" s="243">
        <f t="shared" si="53"/>
        <v>6.0000000000000005E-2</v>
      </c>
      <c r="CR24" s="238">
        <f t="shared" si="54"/>
        <v>0.39</v>
      </c>
      <c r="CS24" s="246">
        <f t="shared" si="55"/>
        <v>0.17750993338009258</v>
      </c>
      <c r="CT24" s="188">
        <f t="shared" si="88"/>
        <v>0.92113359024135832</v>
      </c>
      <c r="CU24" s="206">
        <f t="shared" si="56"/>
        <v>6.9211335902413582</v>
      </c>
      <c r="CV24" s="227">
        <f t="shared" si="57"/>
        <v>0.86691001145532931</v>
      </c>
      <c r="CW24">
        <f t="shared" si="58"/>
        <v>33.088964346349748</v>
      </c>
      <c r="CX24">
        <f t="shared" si="59"/>
        <v>84.404331703955847</v>
      </c>
      <c r="DA24" s="22">
        <v>300</v>
      </c>
      <c r="DB24" s="22">
        <f t="shared" si="89"/>
        <v>1884.9555921538758</v>
      </c>
      <c r="DC24" s="260">
        <f t="shared" si="90"/>
        <v>23.664277671207131</v>
      </c>
      <c r="DD24" s="93">
        <f t="shared" si="112"/>
        <v>-15.31659982320968</v>
      </c>
      <c r="DE24" s="260">
        <f t="shared" si="113"/>
        <v>25.247650687484825</v>
      </c>
      <c r="DF24" s="93">
        <f t="shared" si="114"/>
        <v>-15.018372181552561</v>
      </c>
      <c r="DG24" s="257">
        <f t="shared" si="115"/>
        <v>30.268408884647084</v>
      </c>
      <c r="DH24" s="93">
        <f t="shared" si="116"/>
        <v>-18.28110801484172</v>
      </c>
      <c r="DI24" s="91">
        <f t="shared" si="96"/>
        <v>-12.132212029581078</v>
      </c>
      <c r="DJ24" s="257">
        <f t="shared" si="97"/>
        <v>120.26284869277177</v>
      </c>
      <c r="DK24" s="92">
        <f t="shared" si="98"/>
        <v>-11.275275905674739</v>
      </c>
      <c r="DL24" s="93">
        <f t="shared" si="99"/>
        <v>121.17030909751344</v>
      </c>
      <c r="DM24" s="260">
        <f t="shared" si="100"/>
        <v>11.532065641626053</v>
      </c>
      <c r="DN24" s="270">
        <f t="shared" si="101"/>
        <v>104.94624886956208</v>
      </c>
      <c r="DO24" s="260">
        <f t="shared" si="102"/>
        <v>13.115438657903747</v>
      </c>
      <c r="DP24" s="267">
        <f t="shared" si="103"/>
        <v>105.2444765112192</v>
      </c>
      <c r="DQ24" s="257">
        <f t="shared" si="104"/>
        <v>18.136196855066004</v>
      </c>
      <c r="DR24" s="267">
        <f t="shared" si="105"/>
        <v>101.98174067793005</v>
      </c>
      <c r="DS24" s="260">
        <f t="shared" si="106"/>
        <v>12.389001765532392</v>
      </c>
      <c r="DT24" s="269">
        <f t="shared" si="107"/>
        <v>105.85370927430378</v>
      </c>
      <c r="DU24" s="260">
        <f t="shared" si="108"/>
        <v>13.972374781810085</v>
      </c>
      <c r="DV24" s="93">
        <f t="shared" si="109"/>
        <v>106.15193691596087</v>
      </c>
      <c r="DW24" s="257">
        <f t="shared" si="110"/>
        <v>18.993132978972344</v>
      </c>
      <c r="DX24" s="93">
        <f t="shared" si="111"/>
        <v>102.88920108267172</v>
      </c>
    </row>
    <row r="25" spans="1:128" ht="15.75" thickBot="1" x14ac:dyDescent="0.3">
      <c r="A25" s="12" t="s">
        <v>59</v>
      </c>
      <c r="B25" s="19">
        <f>((VinMin^2)*(D_spec^2)*eff)/(2*Fsw*Pout_Flyback)</f>
        <v>5.0625000000000002E-6</v>
      </c>
      <c r="C25" s="12" t="s">
        <v>319</v>
      </c>
      <c r="E25" s="12" t="s">
        <v>433</v>
      </c>
      <c r="F25" s="265">
        <f>IF(AND(VinMax&lt;=Parts!E9,VinMin&gt;=Parts!D9),1,0)</f>
        <v>0</v>
      </c>
      <c r="G25" s="265">
        <f>IF(AND(Fsw_Input&gt;Parts!I9,Fsw_Input&lt;Parts!J9),1,0)</f>
        <v>1</v>
      </c>
      <c r="H25" s="265">
        <f>1</f>
        <v>1</v>
      </c>
      <c r="I25" s="12">
        <f>PRODUCT(F25:H25)</f>
        <v>0</v>
      </c>
      <c r="J25" s="12"/>
      <c r="L25" s="58">
        <v>21</v>
      </c>
      <c r="M25" s="62">
        <f t="shared" si="0"/>
        <v>25.38</v>
      </c>
      <c r="N25" s="42">
        <f t="shared" si="1"/>
        <v>1.2258378712635542E-4</v>
      </c>
      <c r="O25" s="19">
        <f t="shared" si="2"/>
        <v>1.1032540841371986E-4</v>
      </c>
      <c r="P25" s="43">
        <f t="shared" si="3"/>
        <v>1.0029582583065442E-4</v>
      </c>
      <c r="Q25" s="60">
        <f t="shared" si="4"/>
        <v>0.26174364728413807</v>
      </c>
      <c r="R25" s="63">
        <f t="shared" si="5"/>
        <v>0.26267402153926978</v>
      </c>
      <c r="S25" s="28">
        <f t="shared" si="6"/>
        <v>1.0035545246839237</v>
      </c>
      <c r="T25" s="12">
        <f t="shared" si="7"/>
        <v>0.27337669827454425</v>
      </c>
      <c r="U25" s="12">
        <f t="shared" si="60"/>
        <v>1.1402428738211958</v>
      </c>
      <c r="V25" s="55">
        <f t="shared" si="8"/>
        <v>1.3645597760274564</v>
      </c>
      <c r="W25" s="54">
        <f t="shared" si="61"/>
        <v>0.5150124430647125</v>
      </c>
      <c r="X25" s="55">
        <f t="shared" si="62"/>
        <v>0.44299003930096553</v>
      </c>
      <c r="Y25" s="54">
        <f t="shared" si="9"/>
        <v>0.59197212265023402</v>
      </c>
      <c r="Z25" s="55">
        <f t="shared" si="63"/>
        <v>0.31690849467160659</v>
      </c>
      <c r="AA25" s="54">
        <f t="shared" si="10"/>
        <v>0.59197212265023402</v>
      </c>
      <c r="AB25" s="55">
        <f t="shared" si="64"/>
        <v>0.31690849467160659</v>
      </c>
      <c r="AC25" s="54">
        <f t="shared" si="11"/>
        <v>0</v>
      </c>
      <c r="AD25" s="55">
        <f t="shared" si="65"/>
        <v>0</v>
      </c>
      <c r="AE25" s="54">
        <f t="shared" si="12"/>
        <v>0</v>
      </c>
      <c r="AF25" s="55">
        <f t="shared" si="66"/>
        <v>0</v>
      </c>
      <c r="AG25" s="54">
        <f t="shared" si="13"/>
        <v>0</v>
      </c>
      <c r="AH25" s="55">
        <f t="shared" si="67"/>
        <v>0</v>
      </c>
      <c r="AI25" s="54">
        <f t="shared" si="68"/>
        <v>0</v>
      </c>
      <c r="AJ25" s="177">
        <f t="shared" si="69"/>
        <v>0</v>
      </c>
      <c r="AK25" s="54">
        <f t="shared" si="14"/>
        <v>0.12801023757844252</v>
      </c>
      <c r="AL25" s="55">
        <f t="shared" si="15"/>
        <v>7.9916337033733548E-2</v>
      </c>
      <c r="AM25" s="179">
        <f t="shared" si="16"/>
        <v>2.3949288946828989E-2</v>
      </c>
      <c r="AN25" s="52">
        <f t="shared" si="17"/>
        <v>0</v>
      </c>
      <c r="AO25" s="74">
        <f t="shared" si="70"/>
        <v>0</v>
      </c>
      <c r="AP25" s="78">
        <v>0</v>
      </c>
      <c r="AQ25" s="87">
        <f t="shared" si="18"/>
        <v>0</v>
      </c>
      <c r="AR25" s="46">
        <f t="shared" si="19"/>
        <v>10.794858431226251</v>
      </c>
      <c r="AS25" s="69">
        <f t="shared" si="20"/>
        <v>8.0961438234196884E-3</v>
      </c>
      <c r="AT25" s="42">
        <f t="shared" si="21"/>
        <v>13.634473607763775</v>
      </c>
      <c r="AU25" s="79">
        <f t="shared" si="22"/>
        <v>1.0225855205822832E-2</v>
      </c>
      <c r="AV25" s="83">
        <f t="shared" si="71"/>
        <v>7.4213914310830784E-3</v>
      </c>
      <c r="AW25" s="84">
        <f t="shared" si="72"/>
        <v>2.1107607723821236E-2</v>
      </c>
      <c r="AX25" s="42">
        <f t="shared" si="23"/>
        <v>4.1058732612055629E-2</v>
      </c>
      <c r="AY25" s="43">
        <f t="shared" si="73"/>
        <v>1.649427731361857E-2</v>
      </c>
      <c r="AZ25" s="85">
        <f t="shared" si="24"/>
        <v>4.1058732612055629E-2</v>
      </c>
      <c r="BA25" s="86">
        <f t="shared" si="74"/>
        <v>1.649427731361857E-2</v>
      </c>
      <c r="BB25" s="85">
        <f t="shared" si="25"/>
        <v>0</v>
      </c>
      <c r="BC25" s="86">
        <f t="shared" si="75"/>
        <v>0</v>
      </c>
      <c r="BD25" s="85">
        <f t="shared" si="26"/>
        <v>0</v>
      </c>
      <c r="BE25" s="86">
        <f t="shared" si="76"/>
        <v>0</v>
      </c>
      <c r="BF25" s="85">
        <f t="shared" si="27"/>
        <v>0</v>
      </c>
      <c r="BG25" s="86">
        <f t="shared" si="77"/>
        <v>0</v>
      </c>
      <c r="BH25" s="85">
        <f t="shared" si="28"/>
        <v>0</v>
      </c>
      <c r="BI25" s="86">
        <f t="shared" si="78"/>
        <v>0</v>
      </c>
      <c r="BJ25" s="85">
        <f t="shared" si="29"/>
        <v>3.1673879443585777E-3</v>
      </c>
      <c r="BK25" s="207">
        <f t="shared" si="30"/>
        <v>2.0228906122682568E-3</v>
      </c>
      <c r="BL25" s="85">
        <f t="shared" si="79"/>
        <v>0.14882529756287954</v>
      </c>
      <c r="BM25" s="176">
        <f t="shared" si="80"/>
        <v>0.14882529756287954</v>
      </c>
      <c r="BN25" s="176">
        <f t="shared" si="81"/>
        <v>0.14882529756287954</v>
      </c>
      <c r="BO25" s="176">
        <f t="shared" si="82"/>
        <v>0.15692144138629924</v>
      </c>
      <c r="BP25" s="86">
        <f t="shared" si="83"/>
        <v>0.15905115276870238</v>
      </c>
      <c r="BQ25" s="211">
        <f t="shared" si="84"/>
        <v>4.8298349114128938E-3</v>
      </c>
      <c r="BR25" s="237">
        <f t="shared" si="31"/>
        <v>2.5000000000000001E-3</v>
      </c>
      <c r="BS25" s="237">
        <f t="shared" si="32"/>
        <v>2.5000000000000001E-3</v>
      </c>
      <c r="BT25" s="237">
        <f t="shared" si="33"/>
        <v>0</v>
      </c>
      <c r="BU25" s="237">
        <f t="shared" si="34"/>
        <v>0</v>
      </c>
      <c r="BV25" s="237">
        <f t="shared" si="35"/>
        <v>0</v>
      </c>
      <c r="BW25" s="237">
        <f t="shared" si="36"/>
        <v>0</v>
      </c>
      <c r="BX25" s="212">
        <f t="shared" si="37"/>
        <v>1.0000000000000002E-4</v>
      </c>
      <c r="BY25" s="238">
        <f t="shared" si="85"/>
        <v>9.9298349114128933E-3</v>
      </c>
      <c r="BZ25" s="244">
        <f t="shared" si="86"/>
        <v>3.4498820795806381E-4</v>
      </c>
      <c r="CA25" s="243">
        <f t="shared" si="38"/>
        <v>0.11461596226415094</v>
      </c>
      <c r="CB25" s="243">
        <f t="shared" si="39"/>
        <v>0.23099999999999998</v>
      </c>
      <c r="CC25" s="238">
        <f t="shared" si="87"/>
        <v>0.34596095047210895</v>
      </c>
      <c r="CD25" s="244">
        <f t="shared" si="40"/>
        <v>0.15</v>
      </c>
      <c r="CE25" s="243">
        <f t="shared" si="41"/>
        <v>3.0000000000000002E-2</v>
      </c>
      <c r="CF25" s="243">
        <f t="shared" si="42"/>
        <v>0.15</v>
      </c>
      <c r="CG25" s="243">
        <f t="shared" si="43"/>
        <v>3.0000000000000002E-2</v>
      </c>
      <c r="CH25" s="243">
        <f t="shared" si="44"/>
        <v>0</v>
      </c>
      <c r="CI25" s="243">
        <f t="shared" si="45"/>
        <v>0</v>
      </c>
      <c r="CJ25" s="243">
        <f t="shared" si="46"/>
        <v>0</v>
      </c>
      <c r="CK25" s="243">
        <f t="shared" si="47"/>
        <v>0</v>
      </c>
      <c r="CL25" s="243">
        <f t="shared" si="48"/>
        <v>0</v>
      </c>
      <c r="CM25" s="243">
        <f t="shared" si="49"/>
        <v>0</v>
      </c>
      <c r="CN25" s="243">
        <f t="shared" si="50"/>
        <v>0</v>
      </c>
      <c r="CO25" s="243">
        <f t="shared" si="51"/>
        <v>0</v>
      </c>
      <c r="CP25" s="243">
        <f t="shared" si="52"/>
        <v>0.03</v>
      </c>
      <c r="CQ25" s="243">
        <f t="shared" si="53"/>
        <v>6.0000000000000005E-2</v>
      </c>
      <c r="CR25" s="238">
        <f t="shared" si="54"/>
        <v>0.39</v>
      </c>
      <c r="CS25" s="246">
        <f t="shared" si="55"/>
        <v>0.17510291127241423</v>
      </c>
      <c r="CT25" s="188">
        <f t="shared" si="88"/>
        <v>0.92099369665593622</v>
      </c>
      <c r="CU25" s="206">
        <f t="shared" si="56"/>
        <v>6.9209936966559358</v>
      </c>
      <c r="CV25" s="227">
        <f t="shared" si="57"/>
        <v>0.86692753424975111</v>
      </c>
      <c r="CW25">
        <f t="shared" si="58"/>
        <v>33.868964346349742</v>
      </c>
      <c r="CX25">
        <f t="shared" si="59"/>
        <v>84.86217588082792</v>
      </c>
      <c r="DA25" s="22">
        <v>400</v>
      </c>
      <c r="DB25" s="22">
        <f t="shared" si="89"/>
        <v>2513.2741228718346</v>
      </c>
      <c r="DC25" s="260">
        <f t="shared" si="90"/>
        <v>23.468071432163541</v>
      </c>
      <c r="DD25" s="93">
        <f t="shared" si="112"/>
        <v>-20.137823607275116</v>
      </c>
      <c r="DE25" s="260">
        <f t="shared" si="113"/>
        <v>25.051333506340171</v>
      </c>
      <c r="DF25" s="93">
        <f t="shared" si="114"/>
        <v>-19.740212767232375</v>
      </c>
      <c r="DG25" s="257">
        <f t="shared" si="115"/>
        <v>29.956115906167405</v>
      </c>
      <c r="DH25" s="93">
        <f t="shared" si="116"/>
        <v>-23.795129085044891</v>
      </c>
      <c r="DI25" s="91">
        <f t="shared" si="96"/>
        <v>-13.817813609490713</v>
      </c>
      <c r="DJ25" s="257">
        <f t="shared" si="97"/>
        <v>127.72186563070386</v>
      </c>
      <c r="DK25" s="92">
        <f t="shared" si="98"/>
        <v>-12.921717433089157</v>
      </c>
      <c r="DL25" s="93">
        <f t="shared" si="99"/>
        <v>128.72133608333513</v>
      </c>
      <c r="DM25" s="260">
        <f t="shared" si="100"/>
        <v>9.6502578226728275</v>
      </c>
      <c r="DN25" s="270">
        <f t="shared" si="101"/>
        <v>107.58404202342875</v>
      </c>
      <c r="DO25" s="260">
        <f t="shared" si="102"/>
        <v>11.233519896849458</v>
      </c>
      <c r="DP25" s="267">
        <f t="shared" si="103"/>
        <v>107.98165286347148</v>
      </c>
      <c r="DQ25" s="257">
        <f t="shared" si="104"/>
        <v>16.138302296676692</v>
      </c>
      <c r="DR25" s="267">
        <f t="shared" si="105"/>
        <v>103.92673654565897</v>
      </c>
      <c r="DS25" s="260">
        <f t="shared" si="106"/>
        <v>10.546353999074384</v>
      </c>
      <c r="DT25" s="269">
        <f t="shared" si="107"/>
        <v>108.58351247606005</v>
      </c>
      <c r="DU25" s="260">
        <f t="shared" si="108"/>
        <v>12.129616073251015</v>
      </c>
      <c r="DV25" s="93">
        <f t="shared" si="109"/>
        <v>108.98112331610275</v>
      </c>
      <c r="DW25" s="257">
        <f t="shared" si="110"/>
        <v>17.034398473078248</v>
      </c>
      <c r="DX25" s="93">
        <f t="shared" si="111"/>
        <v>104.92620699829024</v>
      </c>
    </row>
    <row r="26" spans="1:128" ht="15.75" thickBot="1" x14ac:dyDescent="0.3">
      <c r="A26" s="12" t="s">
        <v>60</v>
      </c>
      <c r="B26" s="19">
        <f>Lm_Flyback_CCM</f>
        <v>8.099999999999999E-5</v>
      </c>
      <c r="C26" s="12" t="s">
        <v>319</v>
      </c>
      <c r="E26" s="12" t="s">
        <v>434</v>
      </c>
      <c r="F26" s="265">
        <f>IF(AND(VinMax&lt;=Parts!E10,VinMin&gt;=Parts!D10),1,0)</f>
        <v>1</v>
      </c>
      <c r="G26" s="265">
        <f>IF(AND(Fsw_Input&gt;Parts!I10,Fsw_Input&lt;Parts!J10),1,0)</f>
        <v>1</v>
      </c>
      <c r="H26" s="265">
        <f>1</f>
        <v>1</v>
      </c>
      <c r="I26" s="12">
        <f>PRODUCT(F26:H26)</f>
        <v>1</v>
      </c>
      <c r="J26" s="12"/>
      <c r="L26" s="58">
        <v>22</v>
      </c>
      <c r="M26" s="62">
        <f t="shared" si="0"/>
        <v>26.16</v>
      </c>
      <c r="N26" s="42">
        <f t="shared" si="1"/>
        <v>1.2451977821266666E-4</v>
      </c>
      <c r="O26" s="19">
        <f t="shared" si="2"/>
        <v>1.120678003914E-4</v>
      </c>
      <c r="P26" s="43">
        <f t="shared" si="3"/>
        <v>1.0187981853763637E-4</v>
      </c>
      <c r="Q26" s="60">
        <f t="shared" si="4"/>
        <v>0.25593676719991654</v>
      </c>
      <c r="R26" s="63">
        <f t="shared" si="5"/>
        <v>0.254841997961264</v>
      </c>
      <c r="S26" s="28">
        <f t="shared" si="6"/>
        <v>0.9957225011059182</v>
      </c>
      <c r="T26" s="12">
        <f t="shared" si="7"/>
        <v>0.27552698888682375</v>
      </c>
      <c r="U26" s="12">
        <f t="shared" si="60"/>
        <v>1.1334859955493302</v>
      </c>
      <c r="V26" s="55">
        <f t="shared" si="8"/>
        <v>1.3523581970054532</v>
      </c>
      <c r="W26" s="54">
        <f t="shared" si="61"/>
        <v>0.50534249194374858</v>
      </c>
      <c r="X26" s="55">
        <f t="shared" si="62"/>
        <v>0.43637895256190889</v>
      </c>
      <c r="Y26" s="54">
        <f t="shared" si="9"/>
        <v>0.58997348410122663</v>
      </c>
      <c r="Z26" s="55">
        <f t="shared" si="63"/>
        <v>0.31315924374436133</v>
      </c>
      <c r="AA26" s="54">
        <f t="shared" si="10"/>
        <v>0.58997348410122663</v>
      </c>
      <c r="AB26" s="55">
        <f t="shared" si="64"/>
        <v>0.31315924374436133</v>
      </c>
      <c r="AC26" s="54">
        <f t="shared" si="11"/>
        <v>0</v>
      </c>
      <c r="AD26" s="55">
        <f t="shared" si="65"/>
        <v>0</v>
      </c>
      <c r="AE26" s="54">
        <f t="shared" si="12"/>
        <v>0</v>
      </c>
      <c r="AF26" s="55">
        <f t="shared" si="66"/>
        <v>0</v>
      </c>
      <c r="AG26" s="54">
        <f t="shared" si="13"/>
        <v>0</v>
      </c>
      <c r="AH26" s="55">
        <f t="shared" si="67"/>
        <v>0</v>
      </c>
      <c r="AI26" s="54">
        <f t="shared" si="68"/>
        <v>0</v>
      </c>
      <c r="AJ26" s="177">
        <f t="shared" si="69"/>
        <v>0</v>
      </c>
      <c r="AK26" s="54">
        <f t="shared" si="14"/>
        <v>0.12786117812486106</v>
      </c>
      <c r="AL26" s="55">
        <f t="shared" si="15"/>
        <v>7.9677354822292171E-2</v>
      </c>
      <c r="AM26" s="179">
        <f t="shared" si="16"/>
        <v>2.4137666125711357E-2</v>
      </c>
      <c r="AN26" s="52">
        <f t="shared" si="17"/>
        <v>0</v>
      </c>
      <c r="AO26" s="74">
        <f t="shared" si="70"/>
        <v>0</v>
      </c>
      <c r="AP26" s="78">
        <v>0</v>
      </c>
      <c r="AQ26" s="87">
        <f t="shared" si="18"/>
        <v>0</v>
      </c>
      <c r="AR26" s="46">
        <f t="shared" si="19"/>
        <v>11.02219285479064</v>
      </c>
      <c r="AS26" s="69">
        <f t="shared" si="20"/>
        <v>8.2666446410929809E-3</v>
      </c>
      <c r="AT26" s="42">
        <f t="shared" si="21"/>
        <v>13.899811145653972</v>
      </c>
      <c r="AU26" s="79">
        <f t="shared" si="22"/>
        <v>1.042485835924048E-2</v>
      </c>
      <c r="AV26" s="83">
        <f t="shared" si="71"/>
        <v>6.9854291903683596E-3</v>
      </c>
      <c r="AW26" s="84">
        <f t="shared" si="72"/>
        <v>2.0482298125709942E-2</v>
      </c>
      <c r="AX26" s="42">
        <f t="shared" si="23"/>
        <v>4.1058732612055629E-2</v>
      </c>
      <c r="AY26" s="43">
        <f t="shared" si="73"/>
        <v>1.6106308085029879E-2</v>
      </c>
      <c r="AZ26" s="85">
        <f t="shared" si="24"/>
        <v>4.1058732612055629E-2</v>
      </c>
      <c r="BA26" s="86">
        <f t="shared" si="74"/>
        <v>1.6106308085029879E-2</v>
      </c>
      <c r="BB26" s="85">
        <f t="shared" si="25"/>
        <v>0</v>
      </c>
      <c r="BC26" s="86">
        <f t="shared" si="75"/>
        <v>0</v>
      </c>
      <c r="BD26" s="85">
        <f t="shared" si="26"/>
        <v>0</v>
      </c>
      <c r="BE26" s="86">
        <f t="shared" si="76"/>
        <v>0</v>
      </c>
      <c r="BF26" s="85">
        <f t="shared" si="27"/>
        <v>0</v>
      </c>
      <c r="BG26" s="86">
        <f t="shared" si="77"/>
        <v>0</v>
      </c>
      <c r="BH26" s="85">
        <f t="shared" si="28"/>
        <v>0</v>
      </c>
      <c r="BI26" s="86">
        <f t="shared" si="78"/>
        <v>0</v>
      </c>
      <c r="BJ26" s="85">
        <f t="shared" si="29"/>
        <v>3.1673879443585777E-3</v>
      </c>
      <c r="BK26" s="207">
        <f t="shared" si="30"/>
        <v>2.0108101777308695E-3</v>
      </c>
      <c r="BL26" s="85">
        <f t="shared" si="79"/>
        <v>0.14697600683233877</v>
      </c>
      <c r="BM26" s="176">
        <f t="shared" si="80"/>
        <v>0.14697600683233877</v>
      </c>
      <c r="BN26" s="176">
        <f t="shared" si="81"/>
        <v>0.14697600683233877</v>
      </c>
      <c r="BO26" s="176">
        <f t="shared" si="82"/>
        <v>0.15524265147343175</v>
      </c>
      <c r="BP26" s="86">
        <f t="shared" si="83"/>
        <v>0.15740086519157925</v>
      </c>
      <c r="BQ26" s="211">
        <f t="shared" si="84"/>
        <v>4.5461110747422222E-3</v>
      </c>
      <c r="BR26" s="237">
        <f t="shared" si="31"/>
        <v>2.5000000000000001E-3</v>
      </c>
      <c r="BS26" s="237">
        <f t="shared" si="32"/>
        <v>2.5000000000000001E-3</v>
      </c>
      <c r="BT26" s="237">
        <f t="shared" si="33"/>
        <v>0</v>
      </c>
      <c r="BU26" s="237">
        <f t="shared" si="34"/>
        <v>0</v>
      </c>
      <c r="BV26" s="237">
        <f t="shared" si="35"/>
        <v>0</v>
      </c>
      <c r="BW26" s="237">
        <f t="shared" si="36"/>
        <v>0</v>
      </c>
      <c r="BX26" s="212">
        <f t="shared" si="37"/>
        <v>1.0000000000000002E-4</v>
      </c>
      <c r="BY26" s="238">
        <f t="shared" si="85"/>
        <v>9.6461110747422217E-3</v>
      </c>
      <c r="BZ26" s="244">
        <f t="shared" si="86"/>
        <v>3.2472221962444439E-4</v>
      </c>
      <c r="CA26" s="243">
        <f t="shared" si="38"/>
        <v>0.11721645283018871</v>
      </c>
      <c r="CB26" s="243">
        <f t="shared" si="39"/>
        <v>0.23099999999999998</v>
      </c>
      <c r="CC26" s="238">
        <f t="shared" si="87"/>
        <v>0.34854117504981313</v>
      </c>
      <c r="CD26" s="244">
        <f t="shared" si="40"/>
        <v>0.15</v>
      </c>
      <c r="CE26" s="243">
        <f t="shared" si="41"/>
        <v>3.0000000000000002E-2</v>
      </c>
      <c r="CF26" s="243">
        <f t="shared" si="42"/>
        <v>0.15</v>
      </c>
      <c r="CG26" s="243">
        <f t="shared" si="43"/>
        <v>3.0000000000000002E-2</v>
      </c>
      <c r="CH26" s="243">
        <f t="shared" si="44"/>
        <v>0</v>
      </c>
      <c r="CI26" s="243">
        <f t="shared" si="45"/>
        <v>0</v>
      </c>
      <c r="CJ26" s="243">
        <f t="shared" si="46"/>
        <v>0</v>
      </c>
      <c r="CK26" s="243">
        <f t="shared" si="47"/>
        <v>0</v>
      </c>
      <c r="CL26" s="243">
        <f t="shared" si="48"/>
        <v>0</v>
      </c>
      <c r="CM26" s="243">
        <f t="shared" si="49"/>
        <v>0</v>
      </c>
      <c r="CN26" s="243">
        <f t="shared" si="50"/>
        <v>0</v>
      </c>
      <c r="CO26" s="243">
        <f t="shared" si="51"/>
        <v>0</v>
      </c>
      <c r="CP26" s="243">
        <f t="shared" si="52"/>
        <v>0.03</v>
      </c>
      <c r="CQ26" s="243">
        <f t="shared" si="53"/>
        <v>6.0000000000000005E-2</v>
      </c>
      <c r="CR26" s="238">
        <f t="shared" si="54"/>
        <v>0.39</v>
      </c>
      <c r="CS26" s="246">
        <f t="shared" si="55"/>
        <v>0.17284730488610892</v>
      </c>
      <c r="CT26" s="188">
        <f t="shared" si="88"/>
        <v>0.92103459101066421</v>
      </c>
      <c r="CU26" s="206">
        <f t="shared" si="56"/>
        <v>6.9210345910106641</v>
      </c>
      <c r="CV26" s="227">
        <f t="shared" si="57"/>
        <v>0.8669224118303146</v>
      </c>
      <c r="CW26">
        <f t="shared" si="58"/>
        <v>34.648964346349743</v>
      </c>
      <c r="CX26">
        <f t="shared" si="59"/>
        <v>85.339999098196273</v>
      </c>
      <c r="DA26" s="22">
        <v>500</v>
      </c>
      <c r="DB26" s="22">
        <f t="shared" si="89"/>
        <v>3141.5926535897929</v>
      </c>
      <c r="DC26" s="260">
        <f t="shared" si="90"/>
        <v>23.228168734092677</v>
      </c>
      <c r="DD26" s="93">
        <f t="shared" si="112"/>
        <v>-24.742245643655831</v>
      </c>
      <c r="DE26" s="260">
        <f t="shared" si="113"/>
        <v>24.811288184337748</v>
      </c>
      <c r="DF26" s="93">
        <f t="shared" si="114"/>
        <v>-24.245273897667339</v>
      </c>
      <c r="DG26" s="257">
        <f t="shared" si="115"/>
        <v>29.585003714465763</v>
      </c>
      <c r="DH26" s="93">
        <f t="shared" si="116"/>
        <v>-28.897092863409924</v>
      </c>
      <c r="DI26" s="91">
        <f t="shared" si="96"/>
        <v>-14.894261186547919</v>
      </c>
      <c r="DJ26" s="257">
        <f t="shared" si="97"/>
        <v>133.8238776703771</v>
      </c>
      <c r="DK26" s="92">
        <f t="shared" si="98"/>
        <v>-13.96422234950743</v>
      </c>
      <c r="DL26" s="93">
        <f t="shared" si="99"/>
        <v>134.84519718661599</v>
      </c>
      <c r="DM26" s="260">
        <f t="shared" si="100"/>
        <v>8.3339075475447579</v>
      </c>
      <c r="DN26" s="270">
        <f t="shared" si="101"/>
        <v>109.08163202672128</v>
      </c>
      <c r="DO26" s="260">
        <f t="shared" si="102"/>
        <v>9.9170269977898293</v>
      </c>
      <c r="DP26" s="267">
        <f t="shared" si="103"/>
        <v>109.57860377270976</v>
      </c>
      <c r="DQ26" s="257">
        <f t="shared" si="104"/>
        <v>14.690742527917845</v>
      </c>
      <c r="DR26" s="267">
        <f t="shared" si="105"/>
        <v>104.92678480696718</v>
      </c>
      <c r="DS26" s="260">
        <f t="shared" si="106"/>
        <v>9.2639463845852461</v>
      </c>
      <c r="DT26" s="269">
        <f t="shared" si="107"/>
        <v>110.10295154296011</v>
      </c>
      <c r="DU26" s="260">
        <f t="shared" si="108"/>
        <v>10.847065834830317</v>
      </c>
      <c r="DV26" s="93">
        <f t="shared" si="109"/>
        <v>110.59992328894864</v>
      </c>
      <c r="DW26" s="257">
        <f t="shared" si="110"/>
        <v>15.620781364958333</v>
      </c>
      <c r="DX26" s="93">
        <f t="shared" si="111"/>
        <v>105.94810432320607</v>
      </c>
    </row>
    <row r="27" spans="1:128" ht="15.75" thickBot="1" x14ac:dyDescent="0.3">
      <c r="A27" s="12" t="s">
        <v>153</v>
      </c>
      <c r="B27" s="114">
        <f>MAX(Flyback_CCM_Calc!U4:U54)</f>
        <v>1.5742051021517358</v>
      </c>
      <c r="C27" s="12" t="s">
        <v>6</v>
      </c>
      <c r="E27" s="12" t="s">
        <v>435</v>
      </c>
      <c r="F27" s="265">
        <f>IF(AND(VinMax&lt;=Parts!E11,VinMin&gt;=Parts!D11),1,0)</f>
        <v>1</v>
      </c>
      <c r="G27" s="265">
        <f>IF(AND(Fsw_Input&gt;Parts!I11,Fsw_Input&lt;Parts!J11),1,0)</f>
        <v>1</v>
      </c>
      <c r="H27" s="265">
        <f>IF('Flyback CCM'!B30&lt;Parts!AA11,1,0)</f>
        <v>0</v>
      </c>
      <c r="I27" s="12">
        <f>PRODUCT(F27:H27)</f>
        <v>0</v>
      </c>
      <c r="J27" s="12">
        <f>IF(SUM(I24:I27)&gt;=1,1,0)</f>
        <v>1</v>
      </c>
      <c r="L27" s="58">
        <v>23</v>
      </c>
      <c r="M27" s="62">
        <f t="shared" si="0"/>
        <v>26.94</v>
      </c>
      <c r="N27" s="42">
        <f t="shared" si="1"/>
        <v>1.2638592720184353E-4</v>
      </c>
      <c r="O27" s="19">
        <f t="shared" si="2"/>
        <v>1.1374733448165916E-4</v>
      </c>
      <c r="P27" s="43">
        <f t="shared" si="3"/>
        <v>1.0340666771059923E-4</v>
      </c>
      <c r="Q27" s="60">
        <f t="shared" si="4"/>
        <v>0.25038195057932711</v>
      </c>
      <c r="R27" s="63">
        <f t="shared" si="5"/>
        <v>0.24746349913387772</v>
      </c>
      <c r="S27" s="28">
        <f t="shared" si="6"/>
        <v>0.98834400227853192</v>
      </c>
      <c r="T27" s="12">
        <f t="shared" si="7"/>
        <v>0.27758394027189603</v>
      </c>
      <c r="U27" s="12">
        <f t="shared" si="60"/>
        <v>1.12713597241448</v>
      </c>
      <c r="V27" s="55">
        <f t="shared" si="8"/>
        <v>1.3408126974726968</v>
      </c>
      <c r="W27" s="54">
        <f t="shared" si="61"/>
        <v>0.49617213269644833</v>
      </c>
      <c r="X27" s="55">
        <f t="shared" si="62"/>
        <v>0.43005651007857004</v>
      </c>
      <c r="Y27" s="54">
        <f t="shared" si="9"/>
        <v>0.58809133465983932</v>
      </c>
      <c r="Z27" s="55">
        <f t="shared" si="63"/>
        <v>0.30959880151898383</v>
      </c>
      <c r="AA27" s="54">
        <f t="shared" si="10"/>
        <v>0.58809133465983932</v>
      </c>
      <c r="AB27" s="55">
        <f t="shared" si="64"/>
        <v>0.30959880151898383</v>
      </c>
      <c r="AC27" s="54">
        <f t="shared" si="11"/>
        <v>0</v>
      </c>
      <c r="AD27" s="55">
        <f t="shared" si="65"/>
        <v>0</v>
      </c>
      <c r="AE27" s="54">
        <f t="shared" si="12"/>
        <v>0</v>
      </c>
      <c r="AF27" s="55">
        <f t="shared" si="66"/>
        <v>0</v>
      </c>
      <c r="AG27" s="54">
        <f t="shared" si="13"/>
        <v>0</v>
      </c>
      <c r="AH27" s="55">
        <f t="shared" si="67"/>
        <v>0</v>
      </c>
      <c r="AI27" s="54">
        <f t="shared" si="68"/>
        <v>0</v>
      </c>
      <c r="AJ27" s="177">
        <f t="shared" si="69"/>
        <v>0</v>
      </c>
      <c r="AK27" s="54">
        <f t="shared" si="14"/>
        <v>0.1277283200563146</v>
      </c>
      <c r="AL27" s="55">
        <f t="shared" si="15"/>
        <v>7.9463977652822898E-2</v>
      </c>
      <c r="AM27" s="179">
        <f t="shared" si="16"/>
        <v>2.4317866279497703E-2</v>
      </c>
      <c r="AN27" s="52">
        <f t="shared" si="17"/>
        <v>0</v>
      </c>
      <c r="AO27" s="74">
        <f t="shared" si="70"/>
        <v>0</v>
      </c>
      <c r="AP27" s="78">
        <v>0</v>
      </c>
      <c r="AQ27" s="87">
        <f t="shared" si="18"/>
        <v>0</v>
      </c>
      <c r="AR27" s="46">
        <f t="shared" si="19"/>
        <v>11.242433090710001</v>
      </c>
      <c r="AS27" s="69">
        <f t="shared" si="20"/>
        <v>8.4318248180325003E-3</v>
      </c>
      <c r="AT27" s="42">
        <f t="shared" si="21"/>
        <v>14.156476342834496</v>
      </c>
      <c r="AU27" s="79">
        <f t="shared" si="22"/>
        <v>1.0617357257125874E-2</v>
      </c>
      <c r="AV27" s="83">
        <f t="shared" si="71"/>
        <v>6.5867835346663144E-3</v>
      </c>
      <c r="AW27" s="84">
        <f t="shared" si="72"/>
        <v>1.9893085290737918E-2</v>
      </c>
      <c r="AX27" s="42">
        <f t="shared" si="23"/>
        <v>4.1058732612055629E-2</v>
      </c>
      <c r="AY27" s="43">
        <f t="shared" si="73"/>
        <v>1.5742150952497026E-2</v>
      </c>
      <c r="AZ27" s="85">
        <f t="shared" si="24"/>
        <v>4.1058732612055629E-2</v>
      </c>
      <c r="BA27" s="86">
        <f t="shared" si="74"/>
        <v>1.5742150952497026E-2</v>
      </c>
      <c r="BB27" s="85">
        <f t="shared" si="25"/>
        <v>0</v>
      </c>
      <c r="BC27" s="86">
        <f t="shared" si="75"/>
        <v>0</v>
      </c>
      <c r="BD27" s="85">
        <f t="shared" si="26"/>
        <v>0</v>
      </c>
      <c r="BE27" s="86">
        <f t="shared" si="76"/>
        <v>0</v>
      </c>
      <c r="BF27" s="85">
        <f t="shared" si="27"/>
        <v>0</v>
      </c>
      <c r="BG27" s="86">
        <f t="shared" si="77"/>
        <v>0</v>
      </c>
      <c r="BH27" s="85">
        <f t="shared" si="28"/>
        <v>0</v>
      </c>
      <c r="BI27" s="86">
        <f t="shared" si="78"/>
        <v>0</v>
      </c>
      <c r="BJ27" s="85">
        <f t="shared" si="29"/>
        <v>3.1673879443585777E-3</v>
      </c>
      <c r="BK27" s="207">
        <f t="shared" si="30"/>
        <v>2.000054638240495E-3</v>
      </c>
      <c r="BL27" s="85">
        <f t="shared" si="79"/>
        <v>0.14524907853710861</v>
      </c>
      <c r="BM27" s="176">
        <f t="shared" si="80"/>
        <v>0.14524907853710861</v>
      </c>
      <c r="BN27" s="176">
        <f t="shared" si="81"/>
        <v>0.14524907853710861</v>
      </c>
      <c r="BO27" s="176">
        <f t="shared" si="82"/>
        <v>0.15368090335514112</v>
      </c>
      <c r="BP27" s="86">
        <f t="shared" si="83"/>
        <v>0.15586643579423448</v>
      </c>
      <c r="BQ27" s="211">
        <f t="shared" si="84"/>
        <v>4.2866728382507891E-3</v>
      </c>
      <c r="BR27" s="237">
        <f t="shared" si="31"/>
        <v>2.5000000000000001E-3</v>
      </c>
      <c r="BS27" s="237">
        <f t="shared" si="32"/>
        <v>2.5000000000000001E-3</v>
      </c>
      <c r="BT27" s="237">
        <f t="shared" si="33"/>
        <v>0</v>
      </c>
      <c r="BU27" s="237">
        <f t="shared" si="34"/>
        <v>0</v>
      </c>
      <c r="BV27" s="237">
        <f t="shared" si="35"/>
        <v>0</v>
      </c>
      <c r="BW27" s="237">
        <f t="shared" si="36"/>
        <v>0</v>
      </c>
      <c r="BX27" s="212">
        <f t="shared" si="37"/>
        <v>1.0000000000000002E-4</v>
      </c>
      <c r="BY27" s="238">
        <f t="shared" si="85"/>
        <v>9.3866728382507886E-3</v>
      </c>
      <c r="BZ27" s="244">
        <f t="shared" si="86"/>
        <v>3.061909170179135E-4</v>
      </c>
      <c r="CA27" s="243">
        <f t="shared" si="38"/>
        <v>0.11981694339622645</v>
      </c>
      <c r="CB27" s="243">
        <f t="shared" si="39"/>
        <v>0.23099999999999998</v>
      </c>
      <c r="CC27" s="238">
        <f t="shared" si="87"/>
        <v>0.35112313431324438</v>
      </c>
      <c r="CD27" s="244">
        <f t="shared" si="40"/>
        <v>0.15</v>
      </c>
      <c r="CE27" s="243">
        <f t="shared" si="41"/>
        <v>3.0000000000000002E-2</v>
      </c>
      <c r="CF27" s="243">
        <f t="shared" si="42"/>
        <v>0.15</v>
      </c>
      <c r="CG27" s="243">
        <f t="shared" si="43"/>
        <v>3.0000000000000002E-2</v>
      </c>
      <c r="CH27" s="243">
        <f t="shared" si="44"/>
        <v>0</v>
      </c>
      <c r="CI27" s="243">
        <f t="shared" si="45"/>
        <v>0</v>
      </c>
      <c r="CJ27" s="243">
        <f t="shared" si="46"/>
        <v>0</v>
      </c>
      <c r="CK27" s="243">
        <f t="shared" si="47"/>
        <v>0</v>
      </c>
      <c r="CL27" s="243">
        <f t="shared" si="48"/>
        <v>0</v>
      </c>
      <c r="CM27" s="243">
        <f t="shared" si="49"/>
        <v>0</v>
      </c>
      <c r="CN27" s="243">
        <f t="shared" si="50"/>
        <v>0</v>
      </c>
      <c r="CO27" s="243">
        <f t="shared" si="51"/>
        <v>0</v>
      </c>
      <c r="CP27" s="243">
        <f t="shared" si="52"/>
        <v>0.03</v>
      </c>
      <c r="CQ27" s="243">
        <f t="shared" si="53"/>
        <v>6.0000000000000005E-2</v>
      </c>
      <c r="CR27" s="238">
        <f t="shared" si="54"/>
        <v>0.39</v>
      </c>
      <c r="CS27" s="246">
        <f t="shared" si="55"/>
        <v>0.17072813566060391</v>
      </c>
      <c r="CT27" s="188">
        <f t="shared" si="88"/>
        <v>0.92123794281209914</v>
      </c>
      <c r="CU27" s="206">
        <f t="shared" si="56"/>
        <v>6.9212379428120991</v>
      </c>
      <c r="CV27" s="227">
        <f t="shared" si="57"/>
        <v>0.86689694091953151</v>
      </c>
      <c r="CW27">
        <f t="shared" si="58"/>
        <v>35.428964346349744</v>
      </c>
      <c r="CX27">
        <f t="shared" si="59"/>
        <v>85.836017430431838</v>
      </c>
      <c r="DA27" s="22">
        <v>600</v>
      </c>
      <c r="DB27" s="22">
        <f t="shared" si="89"/>
        <v>3769.9111843077517</v>
      </c>
      <c r="DC27" s="260">
        <f t="shared" si="90"/>
        <v>22.951882148718585</v>
      </c>
      <c r="DD27" s="93">
        <f t="shared" si="112"/>
        <v>-29.103800185818585</v>
      </c>
      <c r="DE27" s="260">
        <f t="shared" si="113"/>
        <v>24.534827305131586</v>
      </c>
      <c r="DF27" s="93">
        <f t="shared" si="114"/>
        <v>-28.507495391237082</v>
      </c>
      <c r="DG27" s="257">
        <f t="shared" si="115"/>
        <v>29.170661397136328</v>
      </c>
      <c r="DH27" s="93">
        <f t="shared" si="116"/>
        <v>-33.564112527516095</v>
      </c>
      <c r="DI27" s="91">
        <f t="shared" si="96"/>
        <v>-15.614648798053878</v>
      </c>
      <c r="DJ27" s="257">
        <f t="shared" si="97"/>
        <v>138.77947083210617</v>
      </c>
      <c r="DK27" s="92">
        <f t="shared" si="98"/>
        <v>-14.656927467829524</v>
      </c>
      <c r="DL27" s="93">
        <f t="shared" si="99"/>
        <v>139.78192612605116</v>
      </c>
      <c r="DM27" s="260">
        <f t="shared" si="100"/>
        <v>7.3372333506647074</v>
      </c>
      <c r="DN27" s="270">
        <f t="shared" si="101"/>
        <v>109.67567064628754</v>
      </c>
      <c r="DO27" s="260">
        <f t="shared" si="102"/>
        <v>8.9201785070777078</v>
      </c>
      <c r="DP27" s="267">
        <f t="shared" si="103"/>
        <v>110.27197544086908</v>
      </c>
      <c r="DQ27" s="257">
        <f t="shared" si="104"/>
        <v>13.55601259908245</v>
      </c>
      <c r="DR27" s="267">
        <f t="shared" si="105"/>
        <v>105.21535830459007</v>
      </c>
      <c r="DS27" s="260">
        <f t="shared" si="106"/>
        <v>8.2949546808890613</v>
      </c>
      <c r="DT27" s="269">
        <f t="shared" si="107"/>
        <v>110.6781259402326</v>
      </c>
      <c r="DU27" s="260">
        <f t="shared" si="108"/>
        <v>9.8778998373020617</v>
      </c>
      <c r="DV27" s="93">
        <f t="shared" si="109"/>
        <v>111.27443073481408</v>
      </c>
      <c r="DW27" s="257">
        <f t="shared" si="110"/>
        <v>14.513733929306804</v>
      </c>
      <c r="DX27" s="93">
        <f t="shared" si="111"/>
        <v>106.21781359853506</v>
      </c>
    </row>
    <row r="28" spans="1:128" ht="15.75" thickBot="1" x14ac:dyDescent="0.3">
      <c r="A28" s="12" t="s">
        <v>154</v>
      </c>
      <c r="B28" s="114">
        <f>MAX(Flyback_CCM_Calc!T4:T54)</f>
        <v>0.31184129043456266</v>
      </c>
      <c r="C28" s="12" t="s">
        <v>6</v>
      </c>
      <c r="L28" s="58">
        <v>24</v>
      </c>
      <c r="M28" s="62">
        <f t="shared" si="0"/>
        <v>27.72</v>
      </c>
      <c r="N28" s="42">
        <f t="shared" si="1"/>
        <v>1.2818579962098684E-4</v>
      </c>
      <c r="O28" s="19">
        <f t="shared" si="2"/>
        <v>1.1536721965888816E-4</v>
      </c>
      <c r="P28" s="43">
        <f t="shared" si="3"/>
        <v>1.0487929059898922E-4</v>
      </c>
      <c r="Q28" s="60">
        <f t="shared" si="4"/>
        <v>0.2450631338118692</v>
      </c>
      <c r="R28" s="63">
        <f t="shared" si="5"/>
        <v>0.24050024050024049</v>
      </c>
      <c r="S28" s="28">
        <f t="shared" si="6"/>
        <v>0.98138074364489458</v>
      </c>
      <c r="T28" s="12">
        <f t="shared" si="7"/>
        <v>0.27955350079279895</v>
      </c>
      <c r="U28" s="12">
        <f t="shared" si="60"/>
        <v>1.1211574940412941</v>
      </c>
      <c r="V28" s="55">
        <f t="shared" si="8"/>
        <v>1.3298695685976736</v>
      </c>
      <c r="W28" s="54">
        <f t="shared" si="61"/>
        <v>0.48746105669210993</v>
      </c>
      <c r="X28" s="55">
        <f t="shared" si="62"/>
        <v>0.42400225955850152</v>
      </c>
      <c r="Y28" s="54">
        <f t="shared" si="9"/>
        <v>0.58631602131938698</v>
      </c>
      <c r="Z28" s="55">
        <f t="shared" si="63"/>
        <v>0.30621312325861522</v>
      </c>
      <c r="AA28" s="54">
        <f t="shared" si="10"/>
        <v>0.58631602131938698</v>
      </c>
      <c r="AB28" s="55">
        <f t="shared" si="64"/>
        <v>0.30621312325861522</v>
      </c>
      <c r="AC28" s="54">
        <f t="shared" si="11"/>
        <v>0</v>
      </c>
      <c r="AD28" s="55">
        <f t="shared" si="65"/>
        <v>0</v>
      </c>
      <c r="AE28" s="54">
        <f t="shared" si="12"/>
        <v>0</v>
      </c>
      <c r="AF28" s="55">
        <f t="shared" si="66"/>
        <v>0</v>
      </c>
      <c r="AG28" s="54">
        <f t="shared" si="13"/>
        <v>0</v>
      </c>
      <c r="AH28" s="55">
        <f t="shared" si="67"/>
        <v>0</v>
      </c>
      <c r="AI28" s="54">
        <f t="shared" si="68"/>
        <v>0</v>
      </c>
      <c r="AJ28" s="177">
        <f t="shared" si="69"/>
        <v>0</v>
      </c>
      <c r="AK28" s="54">
        <f t="shared" si="14"/>
        <v>0.1276099569313085</v>
      </c>
      <c r="AL28" s="55">
        <f t="shared" si="15"/>
        <v>7.9273583923085048E-2</v>
      </c>
      <c r="AM28" s="179">
        <f t="shared" si="16"/>
        <v>2.4490410517214702E-2</v>
      </c>
      <c r="AN28" s="52">
        <f t="shared" si="17"/>
        <v>0</v>
      </c>
      <c r="AO28" s="74">
        <f t="shared" si="70"/>
        <v>0</v>
      </c>
      <c r="AP28" s="78">
        <v>0</v>
      </c>
      <c r="AQ28" s="87">
        <f t="shared" si="18"/>
        <v>0</v>
      </c>
      <c r="AR28" s="46">
        <f t="shared" si="19"/>
        <v>11.455870743080506</v>
      </c>
      <c r="AS28" s="69">
        <f t="shared" si="20"/>
        <v>8.5919030573103784E-3</v>
      </c>
      <c r="AT28" s="42">
        <f t="shared" si="21"/>
        <v>14.404853341960338</v>
      </c>
      <c r="AU28" s="79">
        <f t="shared" si="22"/>
        <v>1.0803640006470253E-2</v>
      </c>
      <c r="AV28" s="83">
        <f t="shared" si="71"/>
        <v>6.2213140091652323E-3</v>
      </c>
      <c r="AW28" s="84">
        <f t="shared" si="72"/>
        <v>1.9336925949135855E-2</v>
      </c>
      <c r="AX28" s="42">
        <f t="shared" si="23"/>
        <v>4.1058732612055629E-2</v>
      </c>
      <c r="AY28" s="43">
        <f t="shared" si="73"/>
        <v>1.5399730804786503E-2</v>
      </c>
      <c r="AZ28" s="85">
        <f t="shared" si="24"/>
        <v>4.1058732612055629E-2</v>
      </c>
      <c r="BA28" s="86">
        <f t="shared" si="74"/>
        <v>1.5399730804786503E-2</v>
      </c>
      <c r="BB28" s="85">
        <f t="shared" si="25"/>
        <v>0</v>
      </c>
      <c r="BC28" s="86">
        <f t="shared" si="75"/>
        <v>0</v>
      </c>
      <c r="BD28" s="85">
        <f t="shared" si="26"/>
        <v>0</v>
      </c>
      <c r="BE28" s="86">
        <f t="shared" si="76"/>
        <v>0</v>
      </c>
      <c r="BF28" s="85">
        <f t="shared" si="27"/>
        <v>0</v>
      </c>
      <c r="BG28" s="86">
        <f t="shared" si="77"/>
        <v>0</v>
      </c>
      <c r="BH28" s="85">
        <f t="shared" si="28"/>
        <v>0</v>
      </c>
      <c r="BI28" s="86">
        <f t="shared" si="78"/>
        <v>0</v>
      </c>
      <c r="BJ28" s="85">
        <f t="shared" si="29"/>
        <v>3.1673879443585777E-3</v>
      </c>
      <c r="BK28" s="207">
        <f t="shared" si="30"/>
        <v>1.9904819568231417E-3</v>
      </c>
      <c r="BL28" s="85">
        <f t="shared" si="79"/>
        <v>0.14363303669316707</v>
      </c>
      <c r="BM28" s="176">
        <f t="shared" si="80"/>
        <v>0.14363303669316707</v>
      </c>
      <c r="BN28" s="176">
        <f t="shared" si="81"/>
        <v>0.14363303669316707</v>
      </c>
      <c r="BO28" s="176">
        <f t="shared" si="82"/>
        <v>0.15222493975047746</v>
      </c>
      <c r="BP28" s="86">
        <f t="shared" si="83"/>
        <v>0.15443667669963732</v>
      </c>
      <c r="BQ28" s="211">
        <f t="shared" si="84"/>
        <v>4.0488255976471469E-3</v>
      </c>
      <c r="BR28" s="237">
        <f t="shared" si="31"/>
        <v>2.5000000000000001E-3</v>
      </c>
      <c r="BS28" s="237">
        <f t="shared" si="32"/>
        <v>2.5000000000000001E-3</v>
      </c>
      <c r="BT28" s="237">
        <f t="shared" si="33"/>
        <v>0</v>
      </c>
      <c r="BU28" s="237">
        <f t="shared" si="34"/>
        <v>0</v>
      </c>
      <c r="BV28" s="237">
        <f t="shared" si="35"/>
        <v>0</v>
      </c>
      <c r="BW28" s="237">
        <f t="shared" si="36"/>
        <v>0</v>
      </c>
      <c r="BX28" s="212">
        <f t="shared" si="37"/>
        <v>1.0000000000000002E-4</v>
      </c>
      <c r="BY28" s="238">
        <f t="shared" si="85"/>
        <v>9.1488255976471464E-3</v>
      </c>
      <c r="BZ28" s="244">
        <f t="shared" si="86"/>
        <v>2.892018284033676E-4</v>
      </c>
      <c r="CA28" s="243">
        <f t="shared" si="38"/>
        <v>0.12241743396226416</v>
      </c>
      <c r="CB28" s="243">
        <f t="shared" si="39"/>
        <v>0.23099999999999998</v>
      </c>
      <c r="CC28" s="238">
        <f t="shared" si="87"/>
        <v>0.35370663579066752</v>
      </c>
      <c r="CD28" s="244">
        <f t="shared" si="40"/>
        <v>0.15</v>
      </c>
      <c r="CE28" s="243">
        <f t="shared" si="41"/>
        <v>3.0000000000000002E-2</v>
      </c>
      <c r="CF28" s="243">
        <f t="shared" si="42"/>
        <v>0.15</v>
      </c>
      <c r="CG28" s="243">
        <f t="shared" si="43"/>
        <v>3.0000000000000002E-2</v>
      </c>
      <c r="CH28" s="243">
        <f t="shared" si="44"/>
        <v>0</v>
      </c>
      <c r="CI28" s="243">
        <f t="shared" si="45"/>
        <v>0</v>
      </c>
      <c r="CJ28" s="243">
        <f t="shared" si="46"/>
        <v>0</v>
      </c>
      <c r="CK28" s="243">
        <f t="shared" si="47"/>
        <v>0</v>
      </c>
      <c r="CL28" s="243">
        <f t="shared" si="48"/>
        <v>0</v>
      </c>
      <c r="CM28" s="243">
        <f t="shared" si="49"/>
        <v>0</v>
      </c>
      <c r="CN28" s="243">
        <f t="shared" si="50"/>
        <v>0</v>
      </c>
      <c r="CO28" s="243">
        <f t="shared" si="51"/>
        <v>0</v>
      </c>
      <c r="CP28" s="243">
        <f t="shared" si="52"/>
        <v>0.03</v>
      </c>
      <c r="CQ28" s="243">
        <f t="shared" si="53"/>
        <v>6.0000000000000005E-2</v>
      </c>
      <c r="CR28" s="238">
        <f t="shared" si="54"/>
        <v>0.39</v>
      </c>
      <c r="CS28" s="246">
        <f t="shared" si="55"/>
        <v>0.16873226528541105</v>
      </c>
      <c r="CT28" s="188">
        <f t="shared" si="88"/>
        <v>0.92158772667372579</v>
      </c>
      <c r="CU28" s="206">
        <f t="shared" si="56"/>
        <v>6.9215877266737262</v>
      </c>
      <c r="CV28" s="227">
        <f t="shared" si="57"/>
        <v>0.8668531321040398</v>
      </c>
      <c r="CW28">
        <f t="shared" si="58"/>
        <v>36.208964346349745</v>
      </c>
      <c r="CX28">
        <f t="shared" si="59"/>
        <v>86.348651749542711</v>
      </c>
      <c r="DA28" s="22">
        <v>700</v>
      </c>
      <c r="DB28" s="22">
        <f t="shared" si="89"/>
        <v>4398.22971502571</v>
      </c>
      <c r="DC28" s="260">
        <f t="shared" si="90"/>
        <v>22.646520700216012</v>
      </c>
      <c r="DD28" s="93">
        <f t="shared" si="112"/>
        <v>-33.208508389290387</v>
      </c>
      <c r="DE28" s="260">
        <f t="shared" si="113"/>
        <v>24.229259907472315</v>
      </c>
      <c r="DF28" s="93">
        <f t="shared" si="114"/>
        <v>-32.512903962922003</v>
      </c>
      <c r="DG28" s="257">
        <f t="shared" si="115"/>
        <v>28.727053381766584</v>
      </c>
      <c r="DH28" s="93">
        <f t="shared" si="116"/>
        <v>-37.799161100021941</v>
      </c>
      <c r="DI28" s="91">
        <f t="shared" si="96"/>
        <v>-16.115171429571301</v>
      </c>
      <c r="DJ28" s="257">
        <f t="shared" si="97"/>
        <v>142.80821449379866</v>
      </c>
      <c r="DK28" s="92">
        <f t="shared" si="98"/>
        <v>-15.135472239830506</v>
      </c>
      <c r="DL28" s="93">
        <f t="shared" si="99"/>
        <v>143.77110750746405</v>
      </c>
      <c r="DM28" s="260">
        <f t="shared" si="100"/>
        <v>6.5313492706447107</v>
      </c>
      <c r="DN28" s="270">
        <f t="shared" si="101"/>
        <v>109.59970610450826</v>
      </c>
      <c r="DO28" s="260">
        <f t="shared" si="102"/>
        <v>8.1140884779010136</v>
      </c>
      <c r="DP28" s="267">
        <f t="shared" si="103"/>
        <v>110.29531053087666</v>
      </c>
      <c r="DQ28" s="257">
        <f t="shared" si="104"/>
        <v>12.611881952195283</v>
      </c>
      <c r="DR28" s="267">
        <f t="shared" si="105"/>
        <v>105.00905339377672</v>
      </c>
      <c r="DS28" s="260">
        <f t="shared" si="106"/>
        <v>7.5110484603855063</v>
      </c>
      <c r="DT28" s="269">
        <f t="shared" si="107"/>
        <v>110.56259911817365</v>
      </c>
      <c r="DU28" s="260">
        <f t="shared" si="108"/>
        <v>9.0937876676418092</v>
      </c>
      <c r="DV28" s="93">
        <f t="shared" si="109"/>
        <v>111.25820354454206</v>
      </c>
      <c r="DW28" s="257">
        <f t="shared" si="110"/>
        <v>13.591581141936079</v>
      </c>
      <c r="DX28" s="93">
        <f t="shared" si="111"/>
        <v>105.97194640744212</v>
      </c>
    </row>
    <row r="29" spans="1:128" ht="15.75" thickBot="1" x14ac:dyDescent="0.3">
      <c r="A29" s="12" t="s">
        <v>155</v>
      </c>
      <c r="B29" s="8">
        <f>MAX(Flyback_CCM_Calc!W4:W54)</f>
        <v>1.0482965760689618</v>
      </c>
      <c r="C29" s="12" t="s">
        <v>6</v>
      </c>
      <c r="L29" s="58">
        <v>25</v>
      </c>
      <c r="M29" s="62">
        <f t="shared" si="0"/>
        <v>28.5</v>
      </c>
      <c r="N29" s="42">
        <f t="shared" si="1"/>
        <v>1.2992273646819644E-4</v>
      </c>
      <c r="O29" s="19">
        <f t="shared" si="2"/>
        <v>1.1693046282137682E-4</v>
      </c>
      <c r="P29" s="43">
        <f t="shared" si="3"/>
        <v>1.063004207467062E-4</v>
      </c>
      <c r="Q29" s="60">
        <f t="shared" si="4"/>
        <v>0.23996558983994745</v>
      </c>
      <c r="R29" s="63">
        <f t="shared" si="5"/>
        <v>0.23391812865497075</v>
      </c>
      <c r="S29" s="28">
        <f t="shared" si="6"/>
        <v>0.97479863179962489</v>
      </c>
      <c r="T29" s="12">
        <f t="shared" si="7"/>
        <v>0.28144112388635811</v>
      </c>
      <c r="U29" s="12">
        <f t="shared" si="60"/>
        <v>1.1155191937428039</v>
      </c>
      <c r="V29" s="55">
        <f t="shared" si="8"/>
        <v>1.3194808684238279</v>
      </c>
      <c r="W29" s="54">
        <f t="shared" si="61"/>
        <v>0.47917327425171979</v>
      </c>
      <c r="X29" s="55">
        <f t="shared" si="62"/>
        <v>0.4181977233841313</v>
      </c>
      <c r="Y29" s="54">
        <f t="shared" si="9"/>
        <v>0.5846389149401805</v>
      </c>
      <c r="Z29" s="55">
        <f t="shared" si="63"/>
        <v>0.30298953919637489</v>
      </c>
      <c r="AA29" s="54">
        <f t="shared" si="10"/>
        <v>0.5846389149401805</v>
      </c>
      <c r="AB29" s="55">
        <f t="shared" si="64"/>
        <v>0.30298953919637489</v>
      </c>
      <c r="AC29" s="54">
        <f t="shared" si="11"/>
        <v>0</v>
      </c>
      <c r="AD29" s="55">
        <f t="shared" si="65"/>
        <v>0</v>
      </c>
      <c r="AE29" s="54">
        <f t="shared" si="12"/>
        <v>0</v>
      </c>
      <c r="AF29" s="55">
        <f t="shared" si="66"/>
        <v>0</v>
      </c>
      <c r="AG29" s="54">
        <f t="shared" si="13"/>
        <v>0</v>
      </c>
      <c r="AH29" s="55">
        <f t="shared" si="67"/>
        <v>0</v>
      </c>
      <c r="AI29" s="54">
        <f t="shared" si="68"/>
        <v>0</v>
      </c>
      <c r="AJ29" s="177">
        <f t="shared" si="69"/>
        <v>0</v>
      </c>
      <c r="AK29" s="54">
        <f t="shared" si="14"/>
        <v>0.12750458567920558</v>
      </c>
      <c r="AL29" s="55">
        <f t="shared" si="15"/>
        <v>7.910385179765822E-2</v>
      </c>
      <c r="AM29" s="179">
        <f t="shared" si="16"/>
        <v>2.4655776589654992E-2</v>
      </c>
      <c r="AN29" s="52">
        <f t="shared" si="17"/>
        <v>0</v>
      </c>
      <c r="AO29" s="74">
        <f t="shared" si="70"/>
        <v>0</v>
      </c>
      <c r="AP29" s="78">
        <v>0</v>
      </c>
      <c r="AQ29" s="87">
        <f t="shared" si="18"/>
        <v>0</v>
      </c>
      <c r="AR29" s="46">
        <f t="shared" si="19"/>
        <v>11.66278520345705</v>
      </c>
      <c r="AS29" s="69">
        <f t="shared" si="20"/>
        <v>8.7470889025927871E-3</v>
      </c>
      <c r="AT29" s="42">
        <f t="shared" si="21"/>
        <v>14.645307309881211</v>
      </c>
      <c r="AU29" s="79">
        <f t="shared" si="22"/>
        <v>1.0983980482410909E-2</v>
      </c>
      <c r="AV29" s="83">
        <f t="shared" si="71"/>
        <v>5.8854388803202835E-3</v>
      </c>
      <c r="AW29" s="84">
        <f t="shared" si="72"/>
        <v>1.8811109894164839E-2</v>
      </c>
      <c r="AX29" s="42">
        <f t="shared" si="23"/>
        <v>4.1058732612055629E-2</v>
      </c>
      <c r="AY29" s="43">
        <f t="shared" si="73"/>
        <v>1.5077203621703212E-2</v>
      </c>
      <c r="AZ29" s="85">
        <f t="shared" si="24"/>
        <v>4.1058732612055629E-2</v>
      </c>
      <c r="BA29" s="86">
        <f t="shared" si="74"/>
        <v>1.5077203621703212E-2</v>
      </c>
      <c r="BB29" s="85">
        <f t="shared" si="25"/>
        <v>0</v>
      </c>
      <c r="BC29" s="86">
        <f t="shared" si="75"/>
        <v>0</v>
      </c>
      <c r="BD29" s="85">
        <f t="shared" si="26"/>
        <v>0</v>
      </c>
      <c r="BE29" s="86">
        <f t="shared" si="76"/>
        <v>0</v>
      </c>
      <c r="BF29" s="85">
        <f t="shared" si="27"/>
        <v>0</v>
      </c>
      <c r="BG29" s="86">
        <f t="shared" si="77"/>
        <v>0</v>
      </c>
      <c r="BH29" s="85">
        <f t="shared" si="28"/>
        <v>0</v>
      </c>
      <c r="BI29" s="86">
        <f t="shared" si="78"/>
        <v>0</v>
      </c>
      <c r="BJ29" s="85">
        <f t="shared" si="29"/>
        <v>3.1673879443585777E-3</v>
      </c>
      <c r="BK29" s="207">
        <f t="shared" si="30"/>
        <v>1.9819674672881893E-3</v>
      </c>
      <c r="BL29" s="85">
        <f t="shared" si="79"/>
        <v>0.14211777665364955</v>
      </c>
      <c r="BM29" s="176">
        <f t="shared" si="80"/>
        <v>0.14211777665364955</v>
      </c>
      <c r="BN29" s="176">
        <f t="shared" si="81"/>
        <v>0.14211777665364955</v>
      </c>
      <c r="BO29" s="176">
        <f t="shared" si="82"/>
        <v>0.15086486555624234</v>
      </c>
      <c r="BP29" s="86">
        <f t="shared" si="83"/>
        <v>0.15310175713606047</v>
      </c>
      <c r="BQ29" s="211">
        <f t="shared" si="84"/>
        <v>3.8302383639410415E-3</v>
      </c>
      <c r="BR29" s="237">
        <f t="shared" si="31"/>
        <v>2.5000000000000001E-3</v>
      </c>
      <c r="BS29" s="237">
        <f t="shared" si="32"/>
        <v>2.5000000000000001E-3</v>
      </c>
      <c r="BT29" s="237">
        <f t="shared" si="33"/>
        <v>0</v>
      </c>
      <c r="BU29" s="237">
        <f t="shared" si="34"/>
        <v>0</v>
      </c>
      <c r="BV29" s="237">
        <f t="shared" si="35"/>
        <v>0</v>
      </c>
      <c r="BW29" s="237">
        <f t="shared" si="36"/>
        <v>0</v>
      </c>
      <c r="BX29" s="212">
        <f t="shared" si="37"/>
        <v>1.0000000000000002E-4</v>
      </c>
      <c r="BY29" s="238">
        <f t="shared" si="85"/>
        <v>8.9302383639410406E-3</v>
      </c>
      <c r="BZ29" s="244">
        <f t="shared" si="86"/>
        <v>2.7358845456721721E-4</v>
      </c>
      <c r="CA29" s="243">
        <f t="shared" si="38"/>
        <v>0.1250179245283019</v>
      </c>
      <c r="CB29" s="243">
        <f t="shared" si="39"/>
        <v>0.23099999999999998</v>
      </c>
      <c r="CC29" s="238">
        <f t="shared" si="87"/>
        <v>0.3562915129828691</v>
      </c>
      <c r="CD29" s="244">
        <f t="shared" si="40"/>
        <v>0.15</v>
      </c>
      <c r="CE29" s="243">
        <f t="shared" si="41"/>
        <v>3.0000000000000002E-2</v>
      </c>
      <c r="CF29" s="243">
        <f t="shared" si="42"/>
        <v>0.15</v>
      </c>
      <c r="CG29" s="243">
        <f t="shared" si="43"/>
        <v>3.0000000000000002E-2</v>
      </c>
      <c r="CH29" s="243">
        <f t="shared" si="44"/>
        <v>0</v>
      </c>
      <c r="CI29" s="243">
        <f t="shared" si="45"/>
        <v>0</v>
      </c>
      <c r="CJ29" s="243">
        <f t="shared" si="46"/>
        <v>0</v>
      </c>
      <c r="CK29" s="243">
        <f t="shared" si="47"/>
        <v>0</v>
      </c>
      <c r="CL29" s="243">
        <f t="shared" si="48"/>
        <v>0</v>
      </c>
      <c r="CM29" s="243">
        <f t="shared" si="49"/>
        <v>0</v>
      </c>
      <c r="CN29" s="243">
        <f t="shared" si="50"/>
        <v>0</v>
      </c>
      <c r="CO29" s="243">
        <f t="shared" si="51"/>
        <v>0</v>
      </c>
      <c r="CP29" s="243">
        <f t="shared" si="52"/>
        <v>0.03</v>
      </c>
      <c r="CQ29" s="243">
        <f t="shared" si="53"/>
        <v>6.0000000000000005E-2</v>
      </c>
      <c r="CR29" s="238">
        <f t="shared" si="54"/>
        <v>0.39</v>
      </c>
      <c r="CS29" s="246">
        <f t="shared" si="55"/>
        <v>0.16684812151354256</v>
      </c>
      <c r="CT29" s="188">
        <f t="shared" si="88"/>
        <v>0.92206987286035269</v>
      </c>
      <c r="CU29" s="206">
        <f t="shared" si="56"/>
        <v>6.9220698728603525</v>
      </c>
      <c r="CV29" s="227">
        <f t="shared" si="57"/>
        <v>0.86679275277535839</v>
      </c>
      <c r="CW29">
        <f t="shared" si="58"/>
        <v>36.988964346349746</v>
      </c>
      <c r="CX29">
        <f t="shared" si="59"/>
        <v>86.876499294643097</v>
      </c>
      <c r="DA29" s="22">
        <v>800</v>
      </c>
      <c r="DB29" s="22">
        <f t="shared" si="89"/>
        <v>5026.5482457436692</v>
      </c>
      <c r="DC29" s="260">
        <f t="shared" si="90"/>
        <v>22.318950195132562</v>
      </c>
      <c r="DD29" s="93">
        <f t="shared" si="112"/>
        <v>-37.052655663650064</v>
      </c>
      <c r="DE29" s="260">
        <f t="shared" si="113"/>
        <v>23.901451815126826</v>
      </c>
      <c r="DF29" s="93">
        <f t="shared" si="114"/>
        <v>-36.257790575208062</v>
      </c>
      <c r="DG29" s="257">
        <f t="shared" si="115"/>
        <v>28.265838077332276</v>
      </c>
      <c r="DH29" s="93">
        <f t="shared" si="116"/>
        <v>-41.622799925879669</v>
      </c>
      <c r="DI29" s="91">
        <f t="shared" si="96"/>
        <v>-16.474261642445892</v>
      </c>
      <c r="DJ29" s="257">
        <f t="shared" si="97"/>
        <v>146.10125660176064</v>
      </c>
      <c r="DK29" s="92">
        <f t="shared" si="98"/>
        <v>-15.477259328140075</v>
      </c>
      <c r="DL29" s="93">
        <f t="shared" si="99"/>
        <v>147.01581813146683</v>
      </c>
      <c r="DM29" s="260">
        <f t="shared" si="100"/>
        <v>5.8446885526866694</v>
      </c>
      <c r="DN29" s="270">
        <f t="shared" si="101"/>
        <v>109.04860093811067</v>
      </c>
      <c r="DO29" s="260">
        <f t="shared" si="102"/>
        <v>7.427190172680934</v>
      </c>
      <c r="DP29" s="267">
        <f t="shared" si="103"/>
        <v>109.84346602655258</v>
      </c>
      <c r="DQ29" s="257">
        <f t="shared" si="104"/>
        <v>11.791576434886384</v>
      </c>
      <c r="DR29" s="267">
        <f t="shared" si="105"/>
        <v>104.47845667588098</v>
      </c>
      <c r="DS29" s="260">
        <f t="shared" si="106"/>
        <v>6.8416908669924865</v>
      </c>
      <c r="DT29" s="269">
        <f t="shared" si="107"/>
        <v>109.96316246781674</v>
      </c>
      <c r="DU29" s="260">
        <f t="shared" si="108"/>
        <v>8.424192486986751</v>
      </c>
      <c r="DV29" s="93">
        <f t="shared" si="109"/>
        <v>110.75802755625877</v>
      </c>
      <c r="DW29" s="257">
        <f t="shared" si="110"/>
        <v>12.788578749192201</v>
      </c>
      <c r="DX29" s="93">
        <f t="shared" si="111"/>
        <v>105.39301820558717</v>
      </c>
    </row>
    <row r="30" spans="1:128" ht="15.75" thickBot="1" x14ac:dyDescent="0.3">
      <c r="A30" s="201" t="s">
        <v>322</v>
      </c>
      <c r="B30" s="201"/>
      <c r="C30" s="12"/>
      <c r="L30" s="58">
        <v>26</v>
      </c>
      <c r="M30" s="62">
        <f t="shared" si="0"/>
        <v>29.28</v>
      </c>
      <c r="N30" s="42">
        <f t="shared" si="1"/>
        <v>1.3159986988892767E-4</v>
      </c>
      <c r="O30" s="19">
        <f t="shared" si="2"/>
        <v>1.1843988290003491E-4</v>
      </c>
      <c r="P30" s="43">
        <f t="shared" si="3"/>
        <v>1.0767262081821354E-4</v>
      </c>
      <c r="Q30" s="60">
        <f t="shared" si="4"/>
        <v>0.23507579198364936</v>
      </c>
      <c r="R30" s="63">
        <f t="shared" si="5"/>
        <v>0.22768670309653916</v>
      </c>
      <c r="S30" s="28">
        <f t="shared" si="6"/>
        <v>0.9685672062411933</v>
      </c>
      <c r="T30" s="12">
        <f t="shared" si="7"/>
        <v>0.28325181848894054</v>
      </c>
      <c r="U30" s="12">
        <f t="shared" si="60"/>
        <v>1.1101931154856635</v>
      </c>
      <c r="V30" s="55">
        <f t="shared" si="8"/>
        <v>1.3096036655560503</v>
      </c>
      <c r="W30" s="54">
        <f t="shared" si="61"/>
        <v>0.47127654586492701</v>
      </c>
      <c r="X30" s="55">
        <f t="shared" si="62"/>
        <v>0.41262615999886032</v>
      </c>
      <c r="Y30" s="54">
        <f t="shared" si="9"/>
        <v>0.583052278955564</v>
      </c>
      <c r="Z30" s="55">
        <f t="shared" si="63"/>
        <v>0.29991658839630198</v>
      </c>
      <c r="AA30" s="54">
        <f t="shared" si="10"/>
        <v>0.583052278955564</v>
      </c>
      <c r="AB30" s="55">
        <f t="shared" si="64"/>
        <v>0.29991658839630198</v>
      </c>
      <c r="AC30" s="54">
        <f t="shared" si="11"/>
        <v>0</v>
      </c>
      <c r="AD30" s="55">
        <f t="shared" si="65"/>
        <v>0</v>
      </c>
      <c r="AE30" s="54">
        <f t="shared" si="12"/>
        <v>0</v>
      </c>
      <c r="AF30" s="55">
        <f t="shared" si="66"/>
        <v>0</v>
      </c>
      <c r="AG30" s="54">
        <f t="shared" si="13"/>
        <v>0</v>
      </c>
      <c r="AH30" s="55">
        <f t="shared" si="67"/>
        <v>0</v>
      </c>
      <c r="AI30" s="54">
        <f t="shared" si="68"/>
        <v>0</v>
      </c>
      <c r="AJ30" s="177">
        <f t="shared" si="69"/>
        <v>0</v>
      </c>
      <c r="AK30" s="54">
        <f t="shared" si="14"/>
        <v>0.12741087895834227</v>
      </c>
      <c r="AL30" s="55">
        <f t="shared" si="15"/>
        <v>7.8952720516378291E-2</v>
      </c>
      <c r="AM30" s="179">
        <f t="shared" si="16"/>
        <v>2.4814403306948063E-2</v>
      </c>
      <c r="AN30" s="52">
        <f t="shared" si="17"/>
        <v>0</v>
      </c>
      <c r="AO30" s="74">
        <f t="shared" si="70"/>
        <v>0</v>
      </c>
      <c r="AP30" s="78">
        <v>0</v>
      </c>
      <c r="AQ30" s="87">
        <f t="shared" si="18"/>
        <v>0</v>
      </c>
      <c r="AR30" s="46">
        <f t="shared" si="19"/>
        <v>11.863443795584407</v>
      </c>
      <c r="AS30" s="69">
        <f t="shared" si="20"/>
        <v>8.8975828466883056E-3</v>
      </c>
      <c r="AT30" s="42">
        <f t="shared" si="21"/>
        <v>14.87818515087168</v>
      </c>
      <c r="AU30" s="79">
        <f t="shared" si="22"/>
        <v>1.1158638863153761E-2</v>
      </c>
      <c r="AV30" s="83">
        <f t="shared" si="71"/>
        <v>5.5760470445287893E-3</v>
      </c>
      <c r="AW30" s="84">
        <f t="shared" si="72"/>
        <v>1.8313215610346427E-2</v>
      </c>
      <c r="AX30" s="42">
        <f t="shared" si="23"/>
        <v>4.1058732612055629E-2</v>
      </c>
      <c r="AY30" s="43">
        <f t="shared" si="73"/>
        <v>1.4772925423644686E-2</v>
      </c>
      <c r="AZ30" s="85">
        <f t="shared" si="24"/>
        <v>4.1058732612055629E-2</v>
      </c>
      <c r="BA30" s="86">
        <f t="shared" si="74"/>
        <v>1.4772925423644686E-2</v>
      </c>
      <c r="BB30" s="85">
        <f t="shared" si="25"/>
        <v>0</v>
      </c>
      <c r="BC30" s="86">
        <f t="shared" si="75"/>
        <v>0</v>
      </c>
      <c r="BD30" s="85">
        <f t="shared" si="26"/>
        <v>0</v>
      </c>
      <c r="BE30" s="86">
        <f t="shared" si="76"/>
        <v>0</v>
      </c>
      <c r="BF30" s="85">
        <f t="shared" si="27"/>
        <v>0</v>
      </c>
      <c r="BG30" s="86">
        <f t="shared" si="77"/>
        <v>0</v>
      </c>
      <c r="BH30" s="85">
        <f t="shared" si="28"/>
        <v>0</v>
      </c>
      <c r="BI30" s="86">
        <f t="shared" si="78"/>
        <v>0</v>
      </c>
      <c r="BJ30" s="85">
        <f t="shared" si="29"/>
        <v>3.1673879443585777E-3</v>
      </c>
      <c r="BK30" s="207">
        <f t="shared" si="30"/>
        <v>1.9744014351263822E-3</v>
      </c>
      <c r="BL30" s="85">
        <f t="shared" si="79"/>
        <v>0.14069436810576083</v>
      </c>
      <c r="BM30" s="176">
        <f t="shared" si="80"/>
        <v>0.14069436810576083</v>
      </c>
      <c r="BN30" s="176">
        <f t="shared" si="81"/>
        <v>0.14069436810576083</v>
      </c>
      <c r="BO30" s="176">
        <f t="shared" si="82"/>
        <v>0.14959195095244915</v>
      </c>
      <c r="BP30" s="86">
        <f t="shared" si="83"/>
        <v>0.1518530069689146</v>
      </c>
      <c r="BQ30" s="211">
        <f t="shared" si="84"/>
        <v>3.6288864336880109E-3</v>
      </c>
      <c r="BR30" s="237">
        <f t="shared" si="31"/>
        <v>2.5000000000000001E-3</v>
      </c>
      <c r="BS30" s="237">
        <f t="shared" si="32"/>
        <v>2.5000000000000001E-3</v>
      </c>
      <c r="BT30" s="237">
        <f t="shared" si="33"/>
        <v>0</v>
      </c>
      <c r="BU30" s="237">
        <f t="shared" si="34"/>
        <v>0</v>
      </c>
      <c r="BV30" s="237">
        <f t="shared" si="35"/>
        <v>0</v>
      </c>
      <c r="BW30" s="237">
        <f t="shared" si="36"/>
        <v>0</v>
      </c>
      <c r="BX30" s="212">
        <f t="shared" si="37"/>
        <v>1.0000000000000002E-4</v>
      </c>
      <c r="BY30" s="238">
        <f t="shared" si="85"/>
        <v>8.7288864336880108E-3</v>
      </c>
      <c r="BZ30" s="244">
        <f t="shared" si="86"/>
        <v>2.5920617383485791E-4</v>
      </c>
      <c r="CA30" s="243">
        <f t="shared" si="38"/>
        <v>0.12761841509433966</v>
      </c>
      <c r="CB30" s="243">
        <f t="shared" si="39"/>
        <v>0.23099999999999998</v>
      </c>
      <c r="CC30" s="238">
        <f t="shared" si="87"/>
        <v>0.35887762126817446</v>
      </c>
      <c r="CD30" s="244">
        <f t="shared" si="40"/>
        <v>0.15</v>
      </c>
      <c r="CE30" s="243">
        <f t="shared" si="41"/>
        <v>3.0000000000000002E-2</v>
      </c>
      <c r="CF30" s="243">
        <f t="shared" si="42"/>
        <v>0.15</v>
      </c>
      <c r="CG30" s="243">
        <f t="shared" si="43"/>
        <v>3.0000000000000002E-2</v>
      </c>
      <c r="CH30" s="243">
        <f t="shared" si="44"/>
        <v>0</v>
      </c>
      <c r="CI30" s="243">
        <f t="shared" si="45"/>
        <v>0</v>
      </c>
      <c r="CJ30" s="243">
        <f t="shared" si="46"/>
        <v>0</v>
      </c>
      <c r="CK30" s="243">
        <f t="shared" si="47"/>
        <v>0</v>
      </c>
      <c r="CL30" s="243">
        <f t="shared" si="48"/>
        <v>0</v>
      </c>
      <c r="CM30" s="243">
        <f t="shared" si="49"/>
        <v>0</v>
      </c>
      <c r="CN30" s="243">
        <f t="shared" si="50"/>
        <v>0</v>
      </c>
      <c r="CO30" s="243">
        <f t="shared" si="51"/>
        <v>0</v>
      </c>
      <c r="CP30" s="243">
        <f t="shared" si="52"/>
        <v>0.03</v>
      </c>
      <c r="CQ30" s="243">
        <f t="shared" si="53"/>
        <v>6.0000000000000005E-2</v>
      </c>
      <c r="CR30" s="238">
        <f t="shared" si="54"/>
        <v>0.39</v>
      </c>
      <c r="CS30" s="246">
        <f t="shared" si="55"/>
        <v>0.16506547114768075</v>
      </c>
      <c r="CT30" s="188">
        <f t="shared" si="88"/>
        <v>0.92267197884954333</v>
      </c>
      <c r="CU30" s="206">
        <f t="shared" si="56"/>
        <v>6.922671978849543</v>
      </c>
      <c r="CV30" s="227">
        <f t="shared" si="57"/>
        <v>0.86671736265006749</v>
      </c>
      <c r="CW30">
        <f t="shared" si="58"/>
        <v>37.768964346349748</v>
      </c>
      <c r="CX30">
        <f t="shared" si="59"/>
        <v>87.418309833914094</v>
      </c>
      <c r="DA30" s="22">
        <v>900</v>
      </c>
      <c r="DB30" s="22">
        <f t="shared" si="89"/>
        <v>5654.8667764616275</v>
      </c>
      <c r="DC30" s="260">
        <f t="shared" si="90"/>
        <v>21.975317025569172</v>
      </c>
      <c r="DD30" s="93">
        <f t="shared" si="112"/>
        <v>-40.64052181312087</v>
      </c>
      <c r="DE30" s="260">
        <f t="shared" si="113"/>
        <v>23.557549440054252</v>
      </c>
      <c r="DF30" s="93">
        <f t="shared" si="114"/>
        <v>-39.746440577595507</v>
      </c>
      <c r="DG30" s="257">
        <f t="shared" si="115"/>
        <v>27.796238347238216</v>
      </c>
      <c r="DH30" s="93">
        <f t="shared" si="116"/>
        <v>-45.065813028561713</v>
      </c>
      <c r="DI30" s="91">
        <f t="shared" si="96"/>
        <v>-16.73919953505704</v>
      </c>
      <c r="DJ30" s="257">
        <f t="shared" si="97"/>
        <v>148.8128024796477</v>
      </c>
      <c r="DK30" s="92">
        <f t="shared" si="98"/>
        <v>-15.728553879274916</v>
      </c>
      <c r="DL30" s="93">
        <f t="shared" si="99"/>
        <v>149.67683734811408</v>
      </c>
      <c r="DM30" s="260">
        <f t="shared" si="100"/>
        <v>5.2361174905121324</v>
      </c>
      <c r="DN30" s="270">
        <f t="shared" si="101"/>
        <v>108.17228066652679</v>
      </c>
      <c r="DO30" s="260">
        <f t="shared" si="102"/>
        <v>6.8183499049972127</v>
      </c>
      <c r="DP30" s="267">
        <f t="shared" si="103"/>
        <v>109.06636190205219</v>
      </c>
      <c r="DQ30" s="257">
        <f t="shared" si="104"/>
        <v>11.057038812181176</v>
      </c>
      <c r="DR30" s="267">
        <f t="shared" si="105"/>
        <v>103.74698945108599</v>
      </c>
      <c r="DS30" s="260">
        <f t="shared" si="106"/>
        <v>6.2467631462942563</v>
      </c>
      <c r="DT30" s="269">
        <f t="shared" si="107"/>
        <v>109.03631553499319</v>
      </c>
      <c r="DU30" s="260">
        <f t="shared" si="108"/>
        <v>7.8289955607793367</v>
      </c>
      <c r="DV30" s="93">
        <f t="shared" si="109"/>
        <v>109.93039677051857</v>
      </c>
      <c r="DW30" s="257">
        <f t="shared" si="110"/>
        <v>12.0676844679633</v>
      </c>
      <c r="DX30" s="93">
        <f t="shared" si="111"/>
        <v>104.61102431955237</v>
      </c>
    </row>
    <row r="31" spans="1:128" ht="15.75" thickBot="1" x14ac:dyDescent="0.3">
      <c r="A31" s="12" t="s">
        <v>156</v>
      </c>
      <c r="B31" s="8">
        <f>MAX(V4:V54)</f>
        <v>2.0560904414370289</v>
      </c>
      <c r="C31" s="12" t="s">
        <v>6</v>
      </c>
      <c r="L31" s="58">
        <v>27</v>
      </c>
      <c r="M31" s="62">
        <f t="shared" si="0"/>
        <v>30.060000000000002</v>
      </c>
      <c r="N31" s="42">
        <f t="shared" si="1"/>
        <v>1.3322013781945911E-4</v>
      </c>
      <c r="O31" s="19">
        <f t="shared" si="2"/>
        <v>1.1989812403751319E-4</v>
      </c>
      <c r="P31" s="43">
        <f t="shared" si="3"/>
        <v>1.0899829457955743E-4</v>
      </c>
      <c r="Q31" s="60">
        <f t="shared" si="4"/>
        <v>0.23038129408215657</v>
      </c>
      <c r="R31" s="63">
        <f t="shared" si="5"/>
        <v>0.22177866489243733</v>
      </c>
      <c r="S31" s="28">
        <f t="shared" si="6"/>
        <v>0.9626591680370914</v>
      </c>
      <c r="T31" s="12">
        <f t="shared" si="7"/>
        <v>0.28499019342014931</v>
      </c>
      <c r="U31" s="12">
        <f t="shared" si="60"/>
        <v>1.1051542647471662</v>
      </c>
      <c r="V31" s="55">
        <f t="shared" si="8"/>
        <v>1.3001993990004275</v>
      </c>
      <c r="W31" s="54">
        <f t="shared" si="61"/>
        <v>0.46374190139063243</v>
      </c>
      <c r="X31" s="55">
        <f t="shared" si="62"/>
        <v>0.40727235961200098</v>
      </c>
      <c r="Y31" s="54">
        <f t="shared" si="9"/>
        <v>0.58154915770952198</v>
      </c>
      <c r="Z31" s="55">
        <f t="shared" si="63"/>
        <v>0.29698387638498908</v>
      </c>
      <c r="AA31" s="54">
        <f t="shared" si="10"/>
        <v>0.58154915770952198</v>
      </c>
      <c r="AB31" s="55">
        <f t="shared" si="64"/>
        <v>0.29698387638498908</v>
      </c>
      <c r="AC31" s="54">
        <f t="shared" si="11"/>
        <v>0</v>
      </c>
      <c r="AD31" s="55">
        <f t="shared" si="65"/>
        <v>0</v>
      </c>
      <c r="AE31" s="54">
        <f t="shared" si="12"/>
        <v>0</v>
      </c>
      <c r="AF31" s="55">
        <f t="shared" si="66"/>
        <v>0</v>
      </c>
      <c r="AG31" s="54">
        <f t="shared" si="13"/>
        <v>0</v>
      </c>
      <c r="AH31" s="55">
        <f t="shared" si="67"/>
        <v>0</v>
      </c>
      <c r="AI31" s="54">
        <f t="shared" si="68"/>
        <v>0</v>
      </c>
      <c r="AJ31" s="177">
        <f t="shared" si="69"/>
        <v>0</v>
      </c>
      <c r="AK31" s="54">
        <f t="shared" si="14"/>
        <v>0.12732766175607915</v>
      </c>
      <c r="AL31" s="55">
        <f t="shared" si="15"/>
        <v>7.8818357305075193E-2</v>
      </c>
      <c r="AM31" s="179">
        <f t="shared" si="16"/>
        <v>2.4966694426813856E-2</v>
      </c>
      <c r="AN31" s="52">
        <f t="shared" si="17"/>
        <v>0</v>
      </c>
      <c r="AO31" s="74">
        <f t="shared" si="70"/>
        <v>0</v>
      </c>
      <c r="AP31" s="78">
        <v>0</v>
      </c>
      <c r="AQ31" s="87">
        <f t="shared" si="18"/>
        <v>0</v>
      </c>
      <c r="AR31" s="46">
        <f t="shared" si="19"/>
        <v>12.058102019688228</v>
      </c>
      <c r="AS31" s="69">
        <f t="shared" si="20"/>
        <v>9.04357651476617E-3</v>
      </c>
      <c r="AT31" s="42">
        <f t="shared" si="21"/>
        <v>15.103816268529657</v>
      </c>
      <c r="AU31" s="79">
        <f t="shared" si="22"/>
        <v>1.1327862201397244E-2</v>
      </c>
      <c r="AV31" s="83">
        <f t="shared" si="71"/>
        <v>5.2904257248866096E-3</v>
      </c>
      <c r="AW31" s="84">
        <f t="shared" si="72"/>
        <v>1.7841072812679319E-2</v>
      </c>
      <c r="AX31" s="42">
        <f t="shared" si="23"/>
        <v>4.1058732612055629E-2</v>
      </c>
      <c r="AY31" s="43">
        <f t="shared" si="73"/>
        <v>1.4485426074494377E-2</v>
      </c>
      <c r="AZ31" s="85">
        <f t="shared" si="24"/>
        <v>4.1058732612055629E-2</v>
      </c>
      <c r="BA31" s="86">
        <f t="shared" si="74"/>
        <v>1.4485426074494377E-2</v>
      </c>
      <c r="BB31" s="85">
        <f t="shared" si="25"/>
        <v>0</v>
      </c>
      <c r="BC31" s="86">
        <f t="shared" si="75"/>
        <v>0</v>
      </c>
      <c r="BD31" s="85">
        <f t="shared" si="26"/>
        <v>0</v>
      </c>
      <c r="BE31" s="86">
        <f t="shared" si="76"/>
        <v>0</v>
      </c>
      <c r="BF31" s="85">
        <f t="shared" si="27"/>
        <v>0</v>
      </c>
      <c r="BG31" s="86">
        <f t="shared" si="77"/>
        <v>0</v>
      </c>
      <c r="BH31" s="85">
        <f t="shared" si="28"/>
        <v>0</v>
      </c>
      <c r="BI31" s="86">
        <f t="shared" si="78"/>
        <v>0</v>
      </c>
      <c r="BJ31" s="85">
        <f t="shared" si="29"/>
        <v>3.1673879443585777E-3</v>
      </c>
      <c r="BK31" s="207">
        <f t="shared" si="30"/>
        <v>1.9676870070387533E-3</v>
      </c>
      <c r="BL31" s="85">
        <f t="shared" si="79"/>
        <v>0.13935489086206326</v>
      </c>
      <c r="BM31" s="176">
        <f t="shared" si="80"/>
        <v>0.13935489086206326</v>
      </c>
      <c r="BN31" s="176">
        <f t="shared" si="81"/>
        <v>0.13935489086206326</v>
      </c>
      <c r="BO31" s="176">
        <f t="shared" si="82"/>
        <v>0.14839846737682943</v>
      </c>
      <c r="BP31" s="86">
        <f t="shared" si="83"/>
        <v>0.15068275306346052</v>
      </c>
      <c r="BQ31" s="211">
        <f t="shared" si="84"/>
        <v>3.4430043341030412E-3</v>
      </c>
      <c r="BR31" s="237">
        <f t="shared" si="31"/>
        <v>2.5000000000000001E-3</v>
      </c>
      <c r="BS31" s="237">
        <f t="shared" si="32"/>
        <v>2.5000000000000001E-3</v>
      </c>
      <c r="BT31" s="237">
        <f t="shared" si="33"/>
        <v>0</v>
      </c>
      <c r="BU31" s="237">
        <f t="shared" si="34"/>
        <v>0</v>
      </c>
      <c r="BV31" s="237">
        <f t="shared" si="35"/>
        <v>0</v>
      </c>
      <c r="BW31" s="237">
        <f t="shared" si="36"/>
        <v>0</v>
      </c>
      <c r="BX31" s="212">
        <f t="shared" si="37"/>
        <v>1.0000000000000002E-4</v>
      </c>
      <c r="BY31" s="238">
        <f t="shared" si="85"/>
        <v>8.5430043341030402E-3</v>
      </c>
      <c r="BZ31" s="244">
        <f t="shared" si="86"/>
        <v>2.4592888100736008E-4</v>
      </c>
      <c r="CA31" s="243">
        <f t="shared" si="38"/>
        <v>0.13021890566037739</v>
      </c>
      <c r="CB31" s="243">
        <f t="shared" si="39"/>
        <v>0.23099999999999998</v>
      </c>
      <c r="CC31" s="238">
        <f t="shared" si="87"/>
        <v>0.36146483454138473</v>
      </c>
      <c r="CD31" s="244">
        <f t="shared" si="40"/>
        <v>0.15</v>
      </c>
      <c r="CE31" s="243">
        <f t="shared" si="41"/>
        <v>3.0000000000000002E-2</v>
      </c>
      <c r="CF31" s="243">
        <f t="shared" si="42"/>
        <v>0.15</v>
      </c>
      <c r="CG31" s="243">
        <f t="shared" si="43"/>
        <v>3.0000000000000002E-2</v>
      </c>
      <c r="CH31" s="243">
        <f t="shared" si="44"/>
        <v>0</v>
      </c>
      <c r="CI31" s="243">
        <f t="shared" si="45"/>
        <v>0</v>
      </c>
      <c r="CJ31" s="243">
        <f t="shared" si="46"/>
        <v>0</v>
      </c>
      <c r="CK31" s="243">
        <f t="shared" si="47"/>
        <v>0</v>
      </c>
      <c r="CL31" s="243">
        <f t="shared" si="48"/>
        <v>0</v>
      </c>
      <c r="CM31" s="243">
        <f t="shared" si="49"/>
        <v>0</v>
      </c>
      <c r="CN31" s="243">
        <f t="shared" si="50"/>
        <v>0</v>
      </c>
      <c r="CO31" s="243">
        <f t="shared" si="51"/>
        <v>0</v>
      </c>
      <c r="CP31" s="243">
        <f t="shared" si="52"/>
        <v>0.03</v>
      </c>
      <c r="CQ31" s="243">
        <f t="shared" si="53"/>
        <v>6.0000000000000005E-2</v>
      </c>
      <c r="CR31" s="238">
        <f t="shared" si="54"/>
        <v>0.39</v>
      </c>
      <c r="CS31" s="246">
        <f t="shared" si="55"/>
        <v>0.16337523103337118</v>
      </c>
      <c r="CT31" s="188">
        <f t="shared" si="88"/>
        <v>0.92338306990885899</v>
      </c>
      <c r="CU31" s="206">
        <f t="shared" si="56"/>
        <v>6.9233830699088585</v>
      </c>
      <c r="CV31" s="227">
        <f t="shared" si="57"/>
        <v>0.86662834331352201</v>
      </c>
      <c r="CW31">
        <f t="shared" si="58"/>
        <v>38.548964346349749</v>
      </c>
      <c r="CX31">
        <f t="shared" si="59"/>
        <v>87.972965578319005</v>
      </c>
      <c r="DA31" s="22">
        <v>1000</v>
      </c>
      <c r="DB31" s="22">
        <f t="shared" si="89"/>
        <v>6283.1853071795858</v>
      </c>
      <c r="DC31" s="260">
        <f t="shared" si="90"/>
        <v>21.620916461873676</v>
      </c>
      <c r="DD31" s="93">
        <f t="shared" si="112"/>
        <v>-43.982105165904713</v>
      </c>
      <c r="DE31" s="260">
        <f t="shared" si="113"/>
        <v>23.202848075096782</v>
      </c>
      <c r="DF31" s="93">
        <f t="shared" si="114"/>
        <v>-42.988857834851835</v>
      </c>
      <c r="DG31" s="257">
        <f t="shared" si="115"/>
        <v>27.325241530607979</v>
      </c>
      <c r="DH31" s="93">
        <f t="shared" si="116"/>
        <v>-48.163606495284093</v>
      </c>
      <c r="DI31" s="91">
        <f t="shared" si="96"/>
        <v>-16.939551705854022</v>
      </c>
      <c r="DJ31" s="257">
        <f t="shared" si="97"/>
        <v>151.06320968801123</v>
      </c>
      <c r="DK31" s="92">
        <f t="shared" si="98"/>
        <v>-15.918076986959555</v>
      </c>
      <c r="DL31" s="93">
        <f t="shared" si="99"/>
        <v>151.87791872970212</v>
      </c>
      <c r="DM31" s="260">
        <f t="shared" si="100"/>
        <v>4.6813647560196543</v>
      </c>
      <c r="DN31" s="270">
        <f t="shared" si="101"/>
        <v>107.08110452210649</v>
      </c>
      <c r="DO31" s="260">
        <f t="shared" si="102"/>
        <v>6.2632963692427595</v>
      </c>
      <c r="DP31" s="267">
        <f t="shared" si="103"/>
        <v>108.07435185315938</v>
      </c>
      <c r="DQ31" s="257">
        <f t="shared" si="104"/>
        <v>10.385689824753957</v>
      </c>
      <c r="DR31" s="267">
        <f t="shared" si="105"/>
        <v>102.89960319272714</v>
      </c>
      <c r="DS31" s="260">
        <f t="shared" si="106"/>
        <v>5.7028394749141214</v>
      </c>
      <c r="DT31" s="269">
        <f t="shared" si="107"/>
        <v>107.89581356379743</v>
      </c>
      <c r="DU31" s="260">
        <f t="shared" si="108"/>
        <v>7.2847710881372265</v>
      </c>
      <c r="DV31" s="93">
        <f t="shared" si="109"/>
        <v>108.88906089485027</v>
      </c>
      <c r="DW31" s="257">
        <f t="shared" si="110"/>
        <v>11.407164543648424</v>
      </c>
      <c r="DX31" s="93">
        <f t="shared" si="111"/>
        <v>103.71431223441803</v>
      </c>
    </row>
    <row r="32" spans="1:128" ht="15.75" thickBot="1" x14ac:dyDescent="0.3">
      <c r="A32" s="12" t="s">
        <v>177</v>
      </c>
      <c r="B32" s="8">
        <f>VLOOKUP(ILrms_Total_Max_FB_CCM,V4:AL54,2,FALSE)</f>
        <v>1.0482965760689618</v>
      </c>
      <c r="C32" s="12" t="s">
        <v>6</v>
      </c>
      <c r="L32" s="58">
        <v>28</v>
      </c>
      <c r="M32" s="62">
        <f t="shared" si="0"/>
        <v>30.84</v>
      </c>
      <c r="N32" s="42">
        <f t="shared" si="1"/>
        <v>1.3478629762542864E-4</v>
      </c>
      <c r="O32" s="19">
        <f t="shared" si="2"/>
        <v>1.2130766786288577E-4</v>
      </c>
      <c r="P32" s="43">
        <f t="shared" si="3"/>
        <v>1.1027969805716886E-4</v>
      </c>
      <c r="Q32" s="60">
        <f t="shared" si="4"/>
        <v>0.22587062471553088</v>
      </c>
      <c r="R32" s="63">
        <f t="shared" si="5"/>
        <v>0.21616947686986598</v>
      </c>
      <c r="S32" s="28">
        <f t="shared" si="6"/>
        <v>0.95704998001452002</v>
      </c>
      <c r="T32" s="12">
        <f t="shared" si="7"/>
        <v>0.28666049655255033</v>
      </c>
      <c r="U32" s="12">
        <f t="shared" si="60"/>
        <v>1.1003802282907951</v>
      </c>
      <c r="V32" s="55">
        <f t="shared" si="8"/>
        <v>1.2912333338455886</v>
      </c>
      <c r="W32" s="54">
        <f t="shared" si="61"/>
        <v>0.45654323172483435</v>
      </c>
      <c r="X32" s="55">
        <f t="shared" si="62"/>
        <v>0.40212246853858374</v>
      </c>
      <c r="Y32" s="54">
        <f t="shared" si="9"/>
        <v>0.58012328108821876</v>
      </c>
      <c r="Z32" s="55">
        <f t="shared" si="63"/>
        <v>0.29418195264251079</v>
      </c>
      <c r="AA32" s="54">
        <f t="shared" si="10"/>
        <v>0.58012328108821876</v>
      </c>
      <c r="AB32" s="55">
        <f t="shared" si="64"/>
        <v>0.29418195264251079</v>
      </c>
      <c r="AC32" s="54">
        <f t="shared" si="11"/>
        <v>0</v>
      </c>
      <c r="AD32" s="55">
        <f t="shared" si="65"/>
        <v>0</v>
      </c>
      <c r="AE32" s="54">
        <f t="shared" si="12"/>
        <v>0</v>
      </c>
      <c r="AF32" s="55">
        <f t="shared" si="66"/>
        <v>0</v>
      </c>
      <c r="AG32" s="54">
        <f t="shared" si="13"/>
        <v>0</v>
      </c>
      <c r="AH32" s="55">
        <f t="shared" si="67"/>
        <v>0</v>
      </c>
      <c r="AI32" s="54">
        <f t="shared" si="68"/>
        <v>0</v>
      </c>
      <c r="AJ32" s="177">
        <f t="shared" si="69"/>
        <v>0</v>
      </c>
      <c r="AK32" s="54">
        <f t="shared" si="14"/>
        <v>0.12725389150448499</v>
      </c>
      <c r="AL32" s="55">
        <f t="shared" si="15"/>
        <v>7.8699128985238676E-2</v>
      </c>
      <c r="AM32" s="179">
        <f t="shared" si="16"/>
        <v>2.5113022086044316E-2</v>
      </c>
      <c r="AN32" s="52">
        <f t="shared" si="17"/>
        <v>0</v>
      </c>
      <c r="AO32" s="74">
        <f t="shared" si="70"/>
        <v>0</v>
      </c>
      <c r="AP32" s="78">
        <v>0</v>
      </c>
      <c r="AQ32" s="87">
        <f t="shared" si="18"/>
        <v>0</v>
      </c>
      <c r="AR32" s="46">
        <f t="shared" si="19"/>
        <v>12.247003868630518</v>
      </c>
      <c r="AS32" s="69">
        <f t="shared" si="20"/>
        <v>9.185252901472889E-3</v>
      </c>
      <c r="AT32" s="42">
        <f t="shared" si="21"/>
        <v>15.322513352911674</v>
      </c>
      <c r="AU32" s="79">
        <f t="shared" si="22"/>
        <v>1.1491885014683756E-2</v>
      </c>
      <c r="AV32" s="83">
        <f t="shared" si="71"/>
        <v>5.0262008030865874E-3</v>
      </c>
      <c r="AW32" s="84">
        <f t="shared" si="72"/>
        <v>1.7392730672736417E-2</v>
      </c>
      <c r="AX32" s="42">
        <f t="shared" si="23"/>
        <v>4.1058732612055629E-2</v>
      </c>
      <c r="AY32" s="43">
        <f t="shared" si="73"/>
        <v>1.4213387077507189E-2</v>
      </c>
      <c r="AZ32" s="85">
        <f t="shared" si="24"/>
        <v>4.1058732612055629E-2</v>
      </c>
      <c r="BA32" s="86">
        <f t="shared" si="74"/>
        <v>1.4213387077507189E-2</v>
      </c>
      <c r="BB32" s="85">
        <f t="shared" si="25"/>
        <v>0</v>
      </c>
      <c r="BC32" s="86">
        <f t="shared" si="75"/>
        <v>0</v>
      </c>
      <c r="BD32" s="85">
        <f t="shared" si="26"/>
        <v>0</v>
      </c>
      <c r="BE32" s="86">
        <f t="shared" si="76"/>
        <v>0</v>
      </c>
      <c r="BF32" s="85">
        <f t="shared" si="27"/>
        <v>0</v>
      </c>
      <c r="BG32" s="86">
        <f t="shared" si="77"/>
        <v>0</v>
      </c>
      <c r="BH32" s="85">
        <f t="shared" si="28"/>
        <v>0</v>
      </c>
      <c r="BI32" s="86">
        <f t="shared" si="78"/>
        <v>0</v>
      </c>
      <c r="BJ32" s="85">
        <f t="shared" si="29"/>
        <v>3.1673879443585777E-3</v>
      </c>
      <c r="BK32" s="207">
        <f t="shared" si="30"/>
        <v>1.9617384797820867E-3</v>
      </c>
      <c r="BL32" s="85">
        <f t="shared" si="79"/>
        <v>0.13809229727908931</v>
      </c>
      <c r="BM32" s="176">
        <f t="shared" si="80"/>
        <v>0.13809229727908931</v>
      </c>
      <c r="BN32" s="176">
        <f t="shared" si="81"/>
        <v>0.13809229727908931</v>
      </c>
      <c r="BO32" s="176">
        <f t="shared" si="82"/>
        <v>0.14727755018056221</v>
      </c>
      <c r="BP32" s="86">
        <f t="shared" si="83"/>
        <v>0.14958418229377307</v>
      </c>
      <c r="BQ32" s="211">
        <f t="shared" si="84"/>
        <v>3.2710469911134067E-3</v>
      </c>
      <c r="BR32" s="237">
        <f t="shared" si="31"/>
        <v>2.5000000000000001E-3</v>
      </c>
      <c r="BS32" s="237">
        <f t="shared" si="32"/>
        <v>2.5000000000000001E-3</v>
      </c>
      <c r="BT32" s="237">
        <f t="shared" si="33"/>
        <v>0</v>
      </c>
      <c r="BU32" s="237">
        <f t="shared" si="34"/>
        <v>0</v>
      </c>
      <c r="BV32" s="237">
        <f t="shared" si="35"/>
        <v>0</v>
      </c>
      <c r="BW32" s="237">
        <f t="shared" si="36"/>
        <v>0</v>
      </c>
      <c r="BX32" s="212">
        <f t="shared" si="37"/>
        <v>1.0000000000000002E-4</v>
      </c>
      <c r="BY32" s="238">
        <f t="shared" si="85"/>
        <v>8.3710469911134067E-3</v>
      </c>
      <c r="BZ32" s="244">
        <f t="shared" si="86"/>
        <v>2.3364621365095761E-4</v>
      </c>
      <c r="CA32" s="243">
        <f t="shared" si="38"/>
        <v>0.13281939622641512</v>
      </c>
      <c r="CB32" s="243">
        <f t="shared" si="39"/>
        <v>0.23099999999999998</v>
      </c>
      <c r="CC32" s="238">
        <f t="shared" si="87"/>
        <v>0.36405304244006609</v>
      </c>
      <c r="CD32" s="244">
        <f t="shared" si="40"/>
        <v>0.15</v>
      </c>
      <c r="CE32" s="243">
        <f t="shared" si="41"/>
        <v>3.0000000000000002E-2</v>
      </c>
      <c r="CF32" s="243">
        <f t="shared" si="42"/>
        <v>0.15</v>
      </c>
      <c r="CG32" s="243">
        <f t="shared" si="43"/>
        <v>3.0000000000000002E-2</v>
      </c>
      <c r="CH32" s="243">
        <f t="shared" si="44"/>
        <v>0</v>
      </c>
      <c r="CI32" s="243">
        <f t="shared" si="45"/>
        <v>0</v>
      </c>
      <c r="CJ32" s="243">
        <f t="shared" si="46"/>
        <v>0</v>
      </c>
      <c r="CK32" s="243">
        <f t="shared" si="47"/>
        <v>0</v>
      </c>
      <c r="CL32" s="243">
        <f t="shared" si="48"/>
        <v>0</v>
      </c>
      <c r="CM32" s="243">
        <f t="shared" si="49"/>
        <v>0</v>
      </c>
      <c r="CN32" s="243">
        <f t="shared" si="50"/>
        <v>0</v>
      </c>
      <c r="CO32" s="243">
        <f t="shared" si="51"/>
        <v>0</v>
      </c>
      <c r="CP32" s="243">
        <f t="shared" si="52"/>
        <v>0.03</v>
      </c>
      <c r="CQ32" s="243">
        <f t="shared" si="53"/>
        <v>6.0000000000000005E-2</v>
      </c>
      <c r="CR32" s="238">
        <f t="shared" si="54"/>
        <v>0.39</v>
      </c>
      <c r="CS32" s="246">
        <f t="shared" si="55"/>
        <v>0.16176930986500268</v>
      </c>
      <c r="CT32" s="188">
        <f t="shared" si="88"/>
        <v>0.92419339929618227</v>
      </c>
      <c r="CU32" s="206">
        <f t="shared" si="56"/>
        <v>6.9241933992961826</v>
      </c>
      <c r="CV32" s="227">
        <f t="shared" si="57"/>
        <v>0.86652692292070821</v>
      </c>
      <c r="CW32">
        <f t="shared" si="58"/>
        <v>39.32896434634975</v>
      </c>
      <c r="CX32">
        <f t="shared" si="59"/>
        <v>88.539464177448849</v>
      </c>
      <c r="DA32" s="22">
        <v>2000</v>
      </c>
      <c r="DB32" s="22">
        <f t="shared" si="89"/>
        <v>12566.370614359172</v>
      </c>
      <c r="DC32" s="260">
        <f t="shared" si="90"/>
        <v>18.123483637158508</v>
      </c>
      <c r="DD32" s="93">
        <f t="shared" si="112"/>
        <v>-67.213254774508613</v>
      </c>
      <c r="DE32" s="260">
        <f t="shared" si="113"/>
        <v>19.700676293420859</v>
      </c>
      <c r="DF32" s="93">
        <f t="shared" si="114"/>
        <v>-65.232308997840576</v>
      </c>
      <c r="DG32" s="257">
        <f t="shared" si="115"/>
        <v>23.136687445327819</v>
      </c>
      <c r="DH32" s="93">
        <f t="shared" si="116"/>
        <v>-66.906596841629366</v>
      </c>
      <c r="DI32" s="91">
        <f t="shared" si="96"/>
        <v>-17.667142563375513</v>
      </c>
      <c r="DJ32" s="257">
        <f t="shared" si="97"/>
        <v>161.20920326165938</v>
      </c>
      <c r="DK32" s="92">
        <f t="shared" si="98"/>
        <v>-16.60313939390501</v>
      </c>
      <c r="DL32" s="93">
        <f t="shared" si="99"/>
        <v>161.70116539673296</v>
      </c>
      <c r="DM32" s="260">
        <f t="shared" si="100"/>
        <v>0.45634107378299404</v>
      </c>
      <c r="DN32" s="270">
        <f t="shared" si="101"/>
        <v>93.995948487150756</v>
      </c>
      <c r="DO32" s="260">
        <f t="shared" si="102"/>
        <v>2.0335337300453453</v>
      </c>
      <c r="DP32" s="267">
        <f t="shared" si="103"/>
        <v>95.976894263818807</v>
      </c>
      <c r="DQ32" s="257">
        <f t="shared" si="104"/>
        <v>5.4695448819523058</v>
      </c>
      <c r="DR32" s="267">
        <f t="shared" si="105"/>
        <v>94.302606420030017</v>
      </c>
      <c r="DS32" s="260">
        <f t="shared" si="106"/>
        <v>1.520344243253497</v>
      </c>
      <c r="DT32" s="269">
        <f t="shared" si="107"/>
        <v>94.487910622224362</v>
      </c>
      <c r="DU32" s="260">
        <f t="shared" si="108"/>
        <v>3.0975368995158483</v>
      </c>
      <c r="DV32" s="93">
        <f t="shared" si="109"/>
        <v>96.468856398892385</v>
      </c>
      <c r="DW32" s="257">
        <f t="shared" si="110"/>
        <v>6.5335480514228088</v>
      </c>
      <c r="DX32" s="93">
        <f t="shared" si="111"/>
        <v>94.794568555103595</v>
      </c>
    </row>
    <row r="33" spans="1:128" ht="15.75" thickBot="1" x14ac:dyDescent="0.3">
      <c r="A33" s="12" t="s">
        <v>178</v>
      </c>
      <c r="B33" s="8">
        <f>VLOOKUP(ILrms_Total_Max_FB_CCM,V4:AL54,4,FALSE)</f>
        <v>0.70966063025752535</v>
      </c>
      <c r="C33" s="12" t="s">
        <v>6</v>
      </c>
      <c r="L33" s="58">
        <v>29</v>
      </c>
      <c r="M33" s="62">
        <f t="shared" si="0"/>
        <v>31.62</v>
      </c>
      <c r="N33" s="42">
        <f t="shared" si="1"/>
        <v>1.3630093877621484E-4</v>
      </c>
      <c r="O33" s="19">
        <f t="shared" si="2"/>
        <v>1.2267084489859335E-4</v>
      </c>
      <c r="P33" s="43">
        <f t="shared" si="3"/>
        <v>1.1151894990781214E-4</v>
      </c>
      <c r="Q33" s="60">
        <f t="shared" si="4"/>
        <v>0.22153319361415938</v>
      </c>
      <c r="R33" s="63">
        <f t="shared" si="5"/>
        <v>0.21083702298123549</v>
      </c>
      <c r="S33" s="28">
        <f t="shared" si="6"/>
        <v>0.95171752612588967</v>
      </c>
      <c r="T33" s="12">
        <f t="shared" si="7"/>
        <v>0.28826664946830122</v>
      </c>
      <c r="U33" s="12">
        <f t="shared" si="60"/>
        <v>1.0958508508600402</v>
      </c>
      <c r="V33" s="55">
        <f t="shared" si="8"/>
        <v>1.282674096437691</v>
      </c>
      <c r="W33" s="54">
        <f t="shared" si="61"/>
        <v>0.44965694047387689</v>
      </c>
      <c r="X33" s="55">
        <f t="shared" si="62"/>
        <v>0.39716383754911228</v>
      </c>
      <c r="Y33" s="54">
        <f t="shared" si="9"/>
        <v>0.57876898274111943</v>
      </c>
      <c r="Z33" s="55">
        <f t="shared" si="63"/>
        <v>0.29150220476557326</v>
      </c>
      <c r="AA33" s="54">
        <f t="shared" si="10"/>
        <v>0.57876898274111943</v>
      </c>
      <c r="AB33" s="55">
        <f t="shared" si="64"/>
        <v>0.29150220476557326</v>
      </c>
      <c r="AC33" s="54">
        <f t="shared" si="11"/>
        <v>0</v>
      </c>
      <c r="AD33" s="55">
        <f t="shared" si="65"/>
        <v>0</v>
      </c>
      <c r="AE33" s="54">
        <f t="shared" si="12"/>
        <v>0</v>
      </c>
      <c r="AF33" s="55">
        <f t="shared" si="66"/>
        <v>0</v>
      </c>
      <c r="AG33" s="54">
        <f t="shared" si="13"/>
        <v>0</v>
      </c>
      <c r="AH33" s="55">
        <f t="shared" si="67"/>
        <v>0</v>
      </c>
      <c r="AI33" s="54">
        <f t="shared" si="68"/>
        <v>0</v>
      </c>
      <c r="AJ33" s="177">
        <f t="shared" si="69"/>
        <v>0</v>
      </c>
      <c r="AK33" s="54">
        <f t="shared" si="14"/>
        <v>0.12718864112260339</v>
      </c>
      <c r="AL33" s="55">
        <f t="shared" si="15"/>
        <v>7.8593577540498782E-2</v>
      </c>
      <c r="AM33" s="179">
        <f t="shared" si="16"/>
        <v>2.5253729836613018E-2</v>
      </c>
      <c r="AN33" s="52">
        <f t="shared" si="17"/>
        <v>0</v>
      </c>
      <c r="AO33" s="74">
        <f t="shared" si="70"/>
        <v>0</v>
      </c>
      <c r="AP33" s="78">
        <v>0</v>
      </c>
      <c r="AQ33" s="87">
        <f t="shared" si="18"/>
        <v>0</v>
      </c>
      <c r="AR33" s="46">
        <f t="shared" si="19"/>
        <v>12.430382194352971</v>
      </c>
      <c r="AS33" s="69">
        <f t="shared" si="20"/>
        <v>9.3227866457647277E-3</v>
      </c>
      <c r="AT33" s="42">
        <f t="shared" si="21"/>
        <v>15.53457317540401</v>
      </c>
      <c r="AU33" s="79">
        <f t="shared" si="22"/>
        <v>1.1650929881553009E-2</v>
      </c>
      <c r="AV33" s="83">
        <f t="shared" si="71"/>
        <v>4.7812873245943483E-3</v>
      </c>
      <c r="AW33" s="84">
        <f t="shared" si="72"/>
        <v>1.6966430749211756E-2</v>
      </c>
      <c r="AX33" s="42">
        <f t="shared" si="23"/>
        <v>4.1058732612055629E-2</v>
      </c>
      <c r="AY33" s="43">
        <f t="shared" si="73"/>
        <v>1.3955622673597819E-2</v>
      </c>
      <c r="AZ33" s="85">
        <f t="shared" si="24"/>
        <v>4.1058732612055629E-2</v>
      </c>
      <c r="BA33" s="86">
        <f t="shared" si="74"/>
        <v>1.3955622673597819E-2</v>
      </c>
      <c r="BB33" s="85">
        <f t="shared" si="25"/>
        <v>0</v>
      </c>
      <c r="BC33" s="86">
        <f t="shared" si="75"/>
        <v>0</v>
      </c>
      <c r="BD33" s="85">
        <f t="shared" si="26"/>
        <v>0</v>
      </c>
      <c r="BE33" s="86">
        <f t="shared" si="76"/>
        <v>0</v>
      </c>
      <c r="BF33" s="85">
        <f t="shared" si="27"/>
        <v>0</v>
      </c>
      <c r="BG33" s="86">
        <f t="shared" si="77"/>
        <v>0</v>
      </c>
      <c r="BH33" s="85">
        <f t="shared" si="28"/>
        <v>0</v>
      </c>
      <c r="BI33" s="86">
        <f t="shared" si="78"/>
        <v>0</v>
      </c>
      <c r="BJ33" s="85">
        <f t="shared" si="29"/>
        <v>3.1673879443585777E-3</v>
      </c>
      <c r="BK33" s="207">
        <f t="shared" si="30"/>
        <v>1.9564798326828555E-3</v>
      </c>
      <c r="BL33" s="85">
        <f t="shared" si="79"/>
        <v>0.13690029642215445</v>
      </c>
      <c r="BM33" s="176">
        <f t="shared" si="80"/>
        <v>0.13690029642215445</v>
      </c>
      <c r="BN33" s="176">
        <f t="shared" si="81"/>
        <v>0.13690029642215445</v>
      </c>
      <c r="BO33" s="176">
        <f t="shared" si="82"/>
        <v>0.14622308306791917</v>
      </c>
      <c r="BP33" s="86">
        <f t="shared" si="83"/>
        <v>0.14855122630370746</v>
      </c>
      <c r="BQ33" s="211">
        <f t="shared" si="84"/>
        <v>3.1116575181713018E-3</v>
      </c>
      <c r="BR33" s="237">
        <f t="shared" si="31"/>
        <v>2.5000000000000001E-3</v>
      </c>
      <c r="BS33" s="237">
        <f t="shared" si="32"/>
        <v>2.5000000000000001E-3</v>
      </c>
      <c r="BT33" s="237">
        <f t="shared" si="33"/>
        <v>0</v>
      </c>
      <c r="BU33" s="237">
        <f t="shared" si="34"/>
        <v>0</v>
      </c>
      <c r="BV33" s="237">
        <f t="shared" si="35"/>
        <v>0</v>
      </c>
      <c r="BW33" s="237">
        <f t="shared" si="36"/>
        <v>0</v>
      </c>
      <c r="BX33" s="212">
        <f t="shared" si="37"/>
        <v>1.0000000000000002E-4</v>
      </c>
      <c r="BY33" s="238">
        <f t="shared" si="85"/>
        <v>8.2116575181713017E-3</v>
      </c>
      <c r="BZ33" s="244">
        <f t="shared" si="86"/>
        <v>2.2226125129795011E-4</v>
      </c>
      <c r="CA33" s="243">
        <f t="shared" si="38"/>
        <v>0.13541988679245287</v>
      </c>
      <c r="CB33" s="243">
        <f t="shared" si="39"/>
        <v>0.23099999999999998</v>
      </c>
      <c r="CC33" s="238">
        <f t="shared" si="87"/>
        <v>0.36664214804375084</v>
      </c>
      <c r="CD33" s="244">
        <f t="shared" si="40"/>
        <v>0.15</v>
      </c>
      <c r="CE33" s="243">
        <f t="shared" si="41"/>
        <v>3.0000000000000002E-2</v>
      </c>
      <c r="CF33" s="243">
        <f t="shared" si="42"/>
        <v>0.15</v>
      </c>
      <c r="CG33" s="243">
        <f t="shared" si="43"/>
        <v>3.0000000000000002E-2</v>
      </c>
      <c r="CH33" s="243">
        <f t="shared" si="44"/>
        <v>0</v>
      </c>
      <c r="CI33" s="243">
        <f t="shared" si="45"/>
        <v>0</v>
      </c>
      <c r="CJ33" s="243">
        <f t="shared" si="46"/>
        <v>0</v>
      </c>
      <c r="CK33" s="243">
        <f t="shared" si="47"/>
        <v>0</v>
      </c>
      <c r="CL33" s="243">
        <f t="shared" si="48"/>
        <v>0</v>
      </c>
      <c r="CM33" s="243">
        <f t="shared" si="49"/>
        <v>0</v>
      </c>
      <c r="CN33" s="243">
        <f t="shared" si="50"/>
        <v>0</v>
      </c>
      <c r="CO33" s="243">
        <f t="shared" si="51"/>
        <v>0</v>
      </c>
      <c r="CP33" s="243">
        <f t="shared" si="52"/>
        <v>0.03</v>
      </c>
      <c r="CQ33" s="243">
        <f t="shared" si="53"/>
        <v>6.0000000000000005E-2</v>
      </c>
      <c r="CR33" s="238">
        <f t="shared" si="54"/>
        <v>0.39</v>
      </c>
      <c r="CS33" s="246">
        <f t="shared" si="55"/>
        <v>0.16024047511882009</v>
      </c>
      <c r="CT33" s="188">
        <f t="shared" si="88"/>
        <v>0.92509428068074229</v>
      </c>
      <c r="CU33" s="206">
        <f t="shared" si="56"/>
        <v>6.9250942806807423</v>
      </c>
      <c r="CV33" s="227">
        <f t="shared" si="57"/>
        <v>0.86641419695013822</v>
      </c>
      <c r="CW33">
        <f t="shared" si="58"/>
        <v>40.108964346349751</v>
      </c>
      <c r="CX33">
        <f t="shared" si="59"/>
        <v>89.116904260830424</v>
      </c>
      <c r="DA33" s="22">
        <v>3000</v>
      </c>
      <c r="DB33" s="22">
        <f t="shared" si="89"/>
        <v>18849.555921538758</v>
      </c>
      <c r="DC33" s="260">
        <f t="shared" si="90"/>
        <v>15.286133957313696</v>
      </c>
      <c r="DD33" s="93">
        <f t="shared" si="112"/>
        <v>-80.342111436925478</v>
      </c>
      <c r="DE33" s="260">
        <f t="shared" si="113"/>
        <v>16.855472145004914</v>
      </c>
      <c r="DF33" s="93">
        <f t="shared" si="114"/>
        <v>-77.384457136682869</v>
      </c>
      <c r="DG33" s="257">
        <f t="shared" si="115"/>
        <v>20.056984637863962</v>
      </c>
      <c r="DH33" s="93">
        <f t="shared" si="116"/>
        <v>-75.389373445826195</v>
      </c>
      <c r="DI33" s="91">
        <f t="shared" si="96"/>
        <v>-17.848537444936152</v>
      </c>
      <c r="DJ33" s="257">
        <f t="shared" si="97"/>
        <v>163.41975574129057</v>
      </c>
      <c r="DK33" s="92">
        <f t="shared" si="98"/>
        <v>-16.774727244507538</v>
      </c>
      <c r="DL33" s="93">
        <f t="shared" si="99"/>
        <v>163.77556265184919</v>
      </c>
      <c r="DM33" s="260">
        <f t="shared" si="100"/>
        <v>-2.562403487622456</v>
      </c>
      <c r="DN33" s="270">
        <f t="shared" si="101"/>
        <v>83.077644304365123</v>
      </c>
      <c r="DO33" s="260">
        <f t="shared" si="102"/>
        <v>-0.9930652999312386</v>
      </c>
      <c r="DP33" s="267">
        <f t="shared" si="103"/>
        <v>86.035298604607704</v>
      </c>
      <c r="DQ33" s="257">
        <f t="shared" si="104"/>
        <v>2.2084471929278102</v>
      </c>
      <c r="DR33" s="267">
        <f t="shared" si="105"/>
        <v>88.030382295464378</v>
      </c>
      <c r="DS33" s="260">
        <f t="shared" si="106"/>
        <v>-1.4885932871938419</v>
      </c>
      <c r="DT33" s="269">
        <f t="shared" si="107"/>
        <v>83.433451214923707</v>
      </c>
      <c r="DU33" s="260">
        <f t="shared" si="108"/>
        <v>8.0744900497375482E-2</v>
      </c>
      <c r="DV33" s="93">
        <f t="shared" si="109"/>
        <v>86.391105515166316</v>
      </c>
      <c r="DW33" s="257">
        <f t="shared" si="110"/>
        <v>3.2822573933564243</v>
      </c>
      <c r="DX33" s="93">
        <f t="shared" si="111"/>
        <v>88.386189206022991</v>
      </c>
    </row>
    <row r="34" spans="1:128" ht="15.75" thickBot="1" x14ac:dyDescent="0.3">
      <c r="A34" s="12" t="s">
        <v>179</v>
      </c>
      <c r="B34" s="8">
        <f>VLOOKUP(ILrms_Total_Max_FB_CCM,V4:AL54,6,FALSE)</f>
        <v>0.70966063025752535</v>
      </c>
      <c r="C34" s="12" t="s">
        <v>6</v>
      </c>
      <c r="L34" s="58">
        <v>30</v>
      </c>
      <c r="M34" s="62">
        <f t="shared" si="0"/>
        <v>32.400000000000006</v>
      </c>
      <c r="N34" s="42">
        <f t="shared" si="1"/>
        <v>1.3776649460374378E-4</v>
      </c>
      <c r="O34" s="19">
        <f t="shared" si="2"/>
        <v>1.239898451433694E-4</v>
      </c>
      <c r="P34" s="43">
        <f t="shared" si="3"/>
        <v>1.1271804103942671E-4</v>
      </c>
      <c r="Q34" s="60">
        <f t="shared" si="4"/>
        <v>0.2173592086484358</v>
      </c>
      <c r="R34" s="63">
        <f t="shared" si="5"/>
        <v>0.20576131687242794</v>
      </c>
      <c r="S34" s="28">
        <f t="shared" si="6"/>
        <v>0.94664182001708197</v>
      </c>
      <c r="T34" s="12">
        <f t="shared" si="7"/>
        <v>0.2898122781979145</v>
      </c>
      <c r="U34" s="12">
        <f t="shared" si="60"/>
        <v>1.0915479591160393</v>
      </c>
      <c r="V34" s="55">
        <f t="shared" si="8"/>
        <v>1.2744932758146323</v>
      </c>
      <c r="W34" s="54">
        <f t="shared" si="61"/>
        <v>0.44306164556503086</v>
      </c>
      <c r="X34" s="55">
        <f t="shared" si="62"/>
        <v>0.39238489044523278</v>
      </c>
      <c r="Y34" s="54">
        <f t="shared" si="9"/>
        <v>0.57748112968844123</v>
      </c>
      <c r="Z34" s="55">
        <f t="shared" si="63"/>
        <v>0.28893676669167295</v>
      </c>
      <c r="AA34" s="54">
        <f t="shared" si="10"/>
        <v>0.57748112968844123</v>
      </c>
      <c r="AB34" s="55">
        <f t="shared" si="64"/>
        <v>0.28893676669167295</v>
      </c>
      <c r="AC34" s="54">
        <f t="shared" si="11"/>
        <v>0</v>
      </c>
      <c r="AD34" s="55">
        <f t="shared" si="65"/>
        <v>0</v>
      </c>
      <c r="AE34" s="54">
        <f t="shared" si="12"/>
        <v>0</v>
      </c>
      <c r="AF34" s="55">
        <f t="shared" si="66"/>
        <v>0</v>
      </c>
      <c r="AG34" s="54">
        <f t="shared" si="13"/>
        <v>0</v>
      </c>
      <c r="AH34" s="55">
        <f t="shared" si="67"/>
        <v>0</v>
      </c>
      <c r="AI34" s="54">
        <f t="shared" si="68"/>
        <v>0</v>
      </c>
      <c r="AJ34" s="177">
        <f t="shared" si="69"/>
        <v>0</v>
      </c>
      <c r="AK34" s="54">
        <f t="shared" si="14"/>
        <v>0.12713108450514529</v>
      </c>
      <c r="AL34" s="55">
        <f t="shared" si="15"/>
        <v>7.8500399027357767E-2</v>
      </c>
      <c r="AM34" s="179">
        <f t="shared" si="16"/>
        <v>2.5389135338558372E-2</v>
      </c>
      <c r="AN34" s="52">
        <f t="shared" si="17"/>
        <v>0</v>
      </c>
      <c r="AO34" s="74">
        <f t="shared" si="70"/>
        <v>0</v>
      </c>
      <c r="AP34" s="78">
        <v>0</v>
      </c>
      <c r="AQ34" s="87">
        <f t="shared" si="18"/>
        <v>0</v>
      </c>
      <c r="AR34" s="46">
        <f t="shared" si="19"/>
        <v>12.608459107845935</v>
      </c>
      <c r="AS34" s="69">
        <f t="shared" si="20"/>
        <v>9.456344330884452E-3</v>
      </c>
      <c r="AT34" s="42">
        <f t="shared" si="21"/>
        <v>15.740277378397478</v>
      </c>
      <c r="AU34" s="79">
        <f t="shared" si="22"/>
        <v>1.1805208033798108E-2</v>
      </c>
      <c r="AV34" s="83">
        <f t="shared" si="71"/>
        <v>4.5538482420173646E-3</v>
      </c>
      <c r="AW34" s="84">
        <f t="shared" si="72"/>
        <v>1.656058382978013E-2</v>
      </c>
      <c r="AX34" s="42">
        <f t="shared" si="23"/>
        <v>4.1058732612055629E-2</v>
      </c>
      <c r="AY34" s="43">
        <f t="shared" si="73"/>
        <v>1.371106368445019E-2</v>
      </c>
      <c r="AZ34" s="85">
        <f t="shared" si="24"/>
        <v>4.1058732612055629E-2</v>
      </c>
      <c r="BA34" s="86">
        <f t="shared" si="74"/>
        <v>1.371106368445019E-2</v>
      </c>
      <c r="BB34" s="85">
        <f t="shared" si="25"/>
        <v>0</v>
      </c>
      <c r="BC34" s="86">
        <f t="shared" si="75"/>
        <v>0</v>
      </c>
      <c r="BD34" s="85">
        <f t="shared" si="26"/>
        <v>0</v>
      </c>
      <c r="BE34" s="86">
        <f t="shared" si="76"/>
        <v>0</v>
      </c>
      <c r="BF34" s="85">
        <f t="shared" si="27"/>
        <v>0</v>
      </c>
      <c r="BG34" s="86">
        <f t="shared" si="77"/>
        <v>0</v>
      </c>
      <c r="BH34" s="85">
        <f t="shared" si="28"/>
        <v>0</v>
      </c>
      <c r="BI34" s="86">
        <f t="shared" si="78"/>
        <v>0</v>
      </c>
      <c r="BJ34" s="85">
        <f t="shared" si="29"/>
        <v>3.1673879443585777E-3</v>
      </c>
      <c r="BK34" s="207">
        <f t="shared" si="30"/>
        <v>1.9518434788915432E-3</v>
      </c>
      <c r="BL34" s="85">
        <f t="shared" si="79"/>
        <v>0.13577325608805926</v>
      </c>
      <c r="BM34" s="176">
        <f t="shared" si="80"/>
        <v>0.13577325608805926</v>
      </c>
      <c r="BN34" s="176">
        <f t="shared" si="81"/>
        <v>0.13577325608805926</v>
      </c>
      <c r="BO34" s="176">
        <f t="shared" si="82"/>
        <v>0.14522960041894373</v>
      </c>
      <c r="BP34" s="86">
        <f t="shared" si="83"/>
        <v>0.14757846412185738</v>
      </c>
      <c r="BQ34" s="211">
        <f t="shared" si="84"/>
        <v>2.9636403664752994E-3</v>
      </c>
      <c r="BR34" s="237">
        <f t="shared" si="31"/>
        <v>2.5000000000000001E-3</v>
      </c>
      <c r="BS34" s="237">
        <f t="shared" si="32"/>
        <v>2.5000000000000001E-3</v>
      </c>
      <c r="BT34" s="237">
        <f t="shared" si="33"/>
        <v>0</v>
      </c>
      <c r="BU34" s="237">
        <f t="shared" si="34"/>
        <v>0</v>
      </c>
      <c r="BV34" s="237">
        <f t="shared" si="35"/>
        <v>0</v>
      </c>
      <c r="BW34" s="237">
        <f t="shared" si="36"/>
        <v>0</v>
      </c>
      <c r="BX34" s="212">
        <f t="shared" si="37"/>
        <v>1.0000000000000002E-4</v>
      </c>
      <c r="BY34" s="238">
        <f t="shared" si="85"/>
        <v>8.0636403664752984E-3</v>
      </c>
      <c r="BZ34" s="244">
        <f t="shared" si="86"/>
        <v>2.1168859760537851E-4</v>
      </c>
      <c r="CA34" s="243">
        <f t="shared" si="38"/>
        <v>0.13802037735849057</v>
      </c>
      <c r="CB34" s="243">
        <f t="shared" si="39"/>
        <v>0.23099999999999998</v>
      </c>
      <c r="CC34" s="238">
        <f t="shared" si="87"/>
        <v>0.36923206595609592</v>
      </c>
      <c r="CD34" s="244">
        <f t="shared" si="40"/>
        <v>0.15</v>
      </c>
      <c r="CE34" s="243">
        <f t="shared" si="41"/>
        <v>3.0000000000000002E-2</v>
      </c>
      <c r="CF34" s="243">
        <f t="shared" si="42"/>
        <v>0.15</v>
      </c>
      <c r="CG34" s="243">
        <f t="shared" si="43"/>
        <v>3.0000000000000002E-2</v>
      </c>
      <c r="CH34" s="243">
        <f t="shared" si="44"/>
        <v>0</v>
      </c>
      <c r="CI34" s="243">
        <f t="shared" si="45"/>
        <v>0</v>
      </c>
      <c r="CJ34" s="243">
        <f t="shared" si="46"/>
        <v>0</v>
      </c>
      <c r="CK34" s="243">
        <f t="shared" si="47"/>
        <v>0</v>
      </c>
      <c r="CL34" s="243">
        <f t="shared" si="48"/>
        <v>0</v>
      </c>
      <c r="CM34" s="243">
        <f t="shared" si="49"/>
        <v>0</v>
      </c>
      <c r="CN34" s="243">
        <f t="shared" si="50"/>
        <v>0</v>
      </c>
      <c r="CO34" s="243">
        <f t="shared" si="51"/>
        <v>0</v>
      </c>
      <c r="CP34" s="243">
        <f t="shared" si="52"/>
        <v>0.03</v>
      </c>
      <c r="CQ34" s="243">
        <f t="shared" si="53"/>
        <v>6.0000000000000005E-2</v>
      </c>
      <c r="CR34" s="238">
        <f t="shared" si="54"/>
        <v>0.39</v>
      </c>
      <c r="CS34" s="246">
        <f t="shared" si="55"/>
        <v>0.15878224059006468</v>
      </c>
      <c r="CT34" s="188">
        <f t="shared" si="88"/>
        <v>0.9260779469126359</v>
      </c>
      <c r="CU34" s="206">
        <f t="shared" si="56"/>
        <v>6.9260779469126357</v>
      </c>
      <c r="CV34" s="227">
        <f t="shared" si="57"/>
        <v>0.86629114572332477</v>
      </c>
      <c r="CW34">
        <f t="shared" si="58"/>
        <v>40.888964346349752</v>
      </c>
      <c r="CX34">
        <f t="shared" si="59"/>
        <v>89.70447309204225</v>
      </c>
      <c r="DA34" s="22">
        <v>4000</v>
      </c>
      <c r="DB34" s="22">
        <f t="shared" si="89"/>
        <v>25132.741228718343</v>
      </c>
      <c r="DC34" s="260">
        <f t="shared" si="90"/>
        <v>13.054452345201062</v>
      </c>
      <c r="DD34" s="93">
        <f t="shared" si="112"/>
        <v>-89.389047874787593</v>
      </c>
      <c r="DE34" s="260">
        <f t="shared" si="113"/>
        <v>14.612885300564853</v>
      </c>
      <c r="DF34" s="93">
        <f t="shared" si="114"/>
        <v>-85.470904852508696</v>
      </c>
      <c r="DG34" s="257">
        <f t="shared" si="115"/>
        <v>17.721949932991741</v>
      </c>
      <c r="DH34" s="93">
        <f t="shared" si="116"/>
        <v>-80.31126278580615</v>
      </c>
      <c r="DI34" s="91">
        <f t="shared" si="96"/>
        <v>-17.951771712439029</v>
      </c>
      <c r="DJ34" s="257">
        <f t="shared" si="97"/>
        <v>163.41891065308928</v>
      </c>
      <c r="DK34" s="92">
        <f t="shared" si="98"/>
        <v>-16.874041368129433</v>
      </c>
      <c r="DL34" s="93">
        <f t="shared" si="99"/>
        <v>163.70668075911709</v>
      </c>
      <c r="DM34" s="260">
        <f t="shared" si="100"/>
        <v>-4.8973193672379676</v>
      </c>
      <c r="DN34" s="270">
        <f t="shared" si="101"/>
        <v>74.029862778301649</v>
      </c>
      <c r="DO34" s="260">
        <f t="shared" si="102"/>
        <v>-3.3388864118741761</v>
      </c>
      <c r="DP34" s="267">
        <f t="shared" si="103"/>
        <v>77.948005800580589</v>
      </c>
      <c r="DQ34" s="257">
        <f t="shared" si="104"/>
        <v>-0.22982177944728832</v>
      </c>
      <c r="DR34" s="267">
        <f t="shared" si="105"/>
        <v>83.107647867283134</v>
      </c>
      <c r="DS34" s="260">
        <f t="shared" si="106"/>
        <v>-3.8195890229283709</v>
      </c>
      <c r="DT34" s="269">
        <f t="shared" si="107"/>
        <v>74.317632884329484</v>
      </c>
      <c r="DU34" s="260">
        <f t="shared" si="108"/>
        <v>-2.2611560675645794</v>
      </c>
      <c r="DV34" s="93">
        <f t="shared" si="109"/>
        <v>78.235775906608396</v>
      </c>
      <c r="DW34" s="257">
        <f t="shared" si="110"/>
        <v>0.84790856486230837</v>
      </c>
      <c r="DX34" s="93">
        <f t="shared" si="111"/>
        <v>83.395417973310941</v>
      </c>
    </row>
    <row r="35" spans="1:128" ht="15.75" thickBot="1" x14ac:dyDescent="0.3">
      <c r="A35" s="12" t="s">
        <v>180</v>
      </c>
      <c r="B35" s="8">
        <f>VLOOKUP(ILrms_Total_Max_FB_CCM,V4:AL54,8,FALSE)</f>
        <v>0</v>
      </c>
      <c r="C35" s="12" t="s">
        <v>6</v>
      </c>
      <c r="L35" s="58">
        <v>31</v>
      </c>
      <c r="M35" s="62">
        <f t="shared" si="0"/>
        <v>33.18</v>
      </c>
      <c r="N35" s="42">
        <f t="shared" si="1"/>
        <v>1.3918525319852292E-4</v>
      </c>
      <c r="O35" s="19">
        <f t="shared" si="2"/>
        <v>1.2526672787867063E-4</v>
      </c>
      <c r="P35" s="43">
        <f t="shared" si="3"/>
        <v>1.1387884352606421E-4</v>
      </c>
      <c r="Q35" s="60">
        <f t="shared" si="4"/>
        <v>0.21333960202906088</v>
      </c>
      <c r="R35" s="63">
        <f t="shared" si="5"/>
        <v>0.20092425155716293</v>
      </c>
      <c r="S35" s="28">
        <f t="shared" si="6"/>
        <v>0.94180475470181702</v>
      </c>
      <c r="T35" s="12">
        <f t="shared" si="7"/>
        <v>0.29130074054832267</v>
      </c>
      <c r="U35" s="12">
        <f t="shared" si="60"/>
        <v>1.0874551249759783</v>
      </c>
      <c r="V35" s="55">
        <f t="shared" si="8"/>
        <v>1.2666650806265274</v>
      </c>
      <c r="W35" s="54">
        <f t="shared" si="61"/>
        <v>0.43673792261453109</v>
      </c>
      <c r="X35" s="55">
        <f t="shared" si="62"/>
        <v>0.3877750097490168</v>
      </c>
      <c r="Y35" s="54">
        <f t="shared" si="9"/>
        <v>0.57625506151060546</v>
      </c>
      <c r="Z35" s="55">
        <f t="shared" si="63"/>
        <v>0.286478438833696</v>
      </c>
      <c r="AA35" s="54">
        <f t="shared" si="10"/>
        <v>0.57625506151060546</v>
      </c>
      <c r="AB35" s="55">
        <f t="shared" si="64"/>
        <v>0.286478438833696</v>
      </c>
      <c r="AC35" s="54">
        <f t="shared" si="11"/>
        <v>0</v>
      </c>
      <c r="AD35" s="55">
        <f t="shared" si="65"/>
        <v>0</v>
      </c>
      <c r="AE35" s="54">
        <f t="shared" si="12"/>
        <v>0</v>
      </c>
      <c r="AF35" s="55">
        <f t="shared" si="66"/>
        <v>0</v>
      </c>
      <c r="AG35" s="54">
        <f t="shared" si="13"/>
        <v>0</v>
      </c>
      <c r="AH35" s="55">
        <f t="shared" si="67"/>
        <v>0</v>
      </c>
      <c r="AI35" s="54">
        <f t="shared" si="68"/>
        <v>0</v>
      </c>
      <c r="AJ35" s="177">
        <f t="shared" si="69"/>
        <v>0</v>
      </c>
      <c r="AK35" s="54">
        <f t="shared" si="14"/>
        <v>0.1270804840643423</v>
      </c>
      <c r="AL35" s="55">
        <f t="shared" si="15"/>
        <v>7.8418425322289889E-2</v>
      </c>
      <c r="AM35" s="179">
        <f t="shared" si="16"/>
        <v>2.5519532754071095E-2</v>
      </c>
      <c r="AN35" s="52">
        <f t="shared" si="17"/>
        <v>0</v>
      </c>
      <c r="AO35" s="74">
        <f t="shared" si="70"/>
        <v>0</v>
      </c>
      <c r="AP35" s="78">
        <v>0</v>
      </c>
      <c r="AQ35" s="87">
        <f t="shared" si="18"/>
        <v>0</v>
      </c>
      <c r="AR35" s="46">
        <f t="shared" si="19"/>
        <v>12.781446399671035</v>
      </c>
      <c r="AS35" s="69">
        <f t="shared" si="20"/>
        <v>9.5860847997532757E-3</v>
      </c>
      <c r="AT35" s="42">
        <f t="shared" si="21"/>
        <v>15.939893250354157</v>
      </c>
      <c r="AU35" s="79">
        <f t="shared" si="22"/>
        <v>1.1954919937765617E-2</v>
      </c>
      <c r="AV35" s="83">
        <f t="shared" si="71"/>
        <v>4.3422598660348899E-3</v>
      </c>
      <c r="AW35" s="84">
        <f t="shared" si="72"/>
        <v>1.6173750040359727E-2</v>
      </c>
      <c r="AX35" s="42">
        <f t="shared" si="23"/>
        <v>4.1058732612055629E-2</v>
      </c>
      <c r="AY35" s="43">
        <f t="shared" si="73"/>
        <v>1.3478743647754298E-2</v>
      </c>
      <c r="AZ35" s="85">
        <f t="shared" si="24"/>
        <v>4.1058732612055629E-2</v>
      </c>
      <c r="BA35" s="86">
        <f t="shared" si="74"/>
        <v>1.3478743647754298E-2</v>
      </c>
      <c r="BB35" s="85">
        <f t="shared" si="25"/>
        <v>0</v>
      </c>
      <c r="BC35" s="86">
        <f t="shared" si="75"/>
        <v>0</v>
      </c>
      <c r="BD35" s="85">
        <f t="shared" si="26"/>
        <v>0</v>
      </c>
      <c r="BE35" s="86">
        <f t="shared" si="76"/>
        <v>0</v>
      </c>
      <c r="BF35" s="85">
        <f t="shared" si="27"/>
        <v>0</v>
      </c>
      <c r="BG35" s="86">
        <f t="shared" si="77"/>
        <v>0</v>
      </c>
      <c r="BH35" s="85">
        <f t="shared" si="28"/>
        <v>0</v>
      </c>
      <c r="BI35" s="86">
        <f t="shared" si="78"/>
        <v>0</v>
      </c>
      <c r="BJ35" s="85">
        <f t="shared" si="29"/>
        <v>3.1673879443585777E-3</v>
      </c>
      <c r="BK35" s="207">
        <f t="shared" si="30"/>
        <v>1.9477691989112007E-3</v>
      </c>
      <c r="BL35" s="85">
        <f t="shared" si="79"/>
        <v>0.13470611956928427</v>
      </c>
      <c r="BM35" s="176">
        <f t="shared" si="80"/>
        <v>0.13470611956928427</v>
      </c>
      <c r="BN35" s="176">
        <f t="shared" si="81"/>
        <v>0.13470611956928427</v>
      </c>
      <c r="BO35" s="176">
        <f t="shared" si="82"/>
        <v>0.14429220436903756</v>
      </c>
      <c r="BP35" s="86">
        <f t="shared" si="83"/>
        <v>0.1466610395070499</v>
      </c>
      <c r="BQ35" s="211">
        <f t="shared" si="84"/>
        <v>2.8259388404664261E-3</v>
      </c>
      <c r="BR35" s="237">
        <f t="shared" si="31"/>
        <v>2.5000000000000001E-3</v>
      </c>
      <c r="BS35" s="237">
        <f t="shared" si="32"/>
        <v>2.5000000000000001E-3</v>
      </c>
      <c r="BT35" s="237">
        <f t="shared" si="33"/>
        <v>0</v>
      </c>
      <c r="BU35" s="237">
        <f t="shared" si="34"/>
        <v>0</v>
      </c>
      <c r="BV35" s="237">
        <f t="shared" si="35"/>
        <v>0</v>
      </c>
      <c r="BW35" s="237">
        <f t="shared" si="36"/>
        <v>0</v>
      </c>
      <c r="BX35" s="212">
        <f t="shared" si="37"/>
        <v>1.0000000000000002E-4</v>
      </c>
      <c r="BY35" s="238">
        <f t="shared" si="85"/>
        <v>7.925938840466426E-3</v>
      </c>
      <c r="BZ35" s="244">
        <f t="shared" si="86"/>
        <v>2.0185277431903042E-4</v>
      </c>
      <c r="CA35" s="243">
        <f t="shared" si="38"/>
        <v>0.14062086792452833</v>
      </c>
      <c r="CB35" s="243">
        <f t="shared" si="39"/>
        <v>0.23099999999999998</v>
      </c>
      <c r="CC35" s="238">
        <f t="shared" si="87"/>
        <v>0.37182272069884736</v>
      </c>
      <c r="CD35" s="244">
        <f t="shared" si="40"/>
        <v>0.15</v>
      </c>
      <c r="CE35" s="243">
        <f t="shared" si="41"/>
        <v>3.0000000000000002E-2</v>
      </c>
      <c r="CF35" s="243">
        <f t="shared" si="42"/>
        <v>0.15</v>
      </c>
      <c r="CG35" s="243">
        <f t="shared" si="43"/>
        <v>3.0000000000000002E-2</v>
      </c>
      <c r="CH35" s="243">
        <f t="shared" si="44"/>
        <v>0</v>
      </c>
      <c r="CI35" s="243">
        <f t="shared" si="45"/>
        <v>0</v>
      </c>
      <c r="CJ35" s="243">
        <f t="shared" si="46"/>
        <v>0</v>
      </c>
      <c r="CK35" s="243">
        <f t="shared" si="47"/>
        <v>0</v>
      </c>
      <c r="CL35" s="243">
        <f t="shared" si="48"/>
        <v>0</v>
      </c>
      <c r="CM35" s="243">
        <f t="shared" si="49"/>
        <v>0</v>
      </c>
      <c r="CN35" s="243">
        <f t="shared" si="50"/>
        <v>0</v>
      </c>
      <c r="CO35" s="243">
        <f t="shared" si="51"/>
        <v>0</v>
      </c>
      <c r="CP35" s="243">
        <f t="shared" si="52"/>
        <v>0.03</v>
      </c>
      <c r="CQ35" s="243">
        <f t="shared" si="53"/>
        <v>6.0000000000000005E-2</v>
      </c>
      <c r="CR35" s="238">
        <f t="shared" si="54"/>
        <v>0.39</v>
      </c>
      <c r="CS35" s="246">
        <f t="shared" si="55"/>
        <v>0.15738877091413558</v>
      </c>
      <c r="CT35" s="188">
        <f t="shared" si="88"/>
        <v>0.92713743045344943</v>
      </c>
      <c r="CU35" s="206">
        <f t="shared" si="56"/>
        <v>6.927137430453449</v>
      </c>
      <c r="CV35" s="227">
        <f t="shared" si="57"/>
        <v>0.86615864926000774</v>
      </c>
      <c r="CW35">
        <f t="shared" si="58"/>
        <v>41.668964346349746</v>
      </c>
      <c r="CX35">
        <f t="shared" si="59"/>
        <v>90.301435984886069</v>
      </c>
      <c r="DA35" s="22">
        <v>5000</v>
      </c>
      <c r="DB35" s="22">
        <f t="shared" si="89"/>
        <v>31415.926535897932</v>
      </c>
      <c r="DC35" s="260">
        <f t="shared" si="90"/>
        <v>11.245162825903181</v>
      </c>
      <c r="DD35" s="93">
        <f t="shared" si="112"/>
        <v>-96.50458405333346</v>
      </c>
      <c r="DE35" s="260">
        <f t="shared" si="113"/>
        <v>12.789728584213663</v>
      </c>
      <c r="DF35" s="93">
        <f t="shared" si="114"/>
        <v>-91.647096271387184</v>
      </c>
      <c r="DG35" s="257">
        <f t="shared" si="115"/>
        <v>15.859127323970677</v>
      </c>
      <c r="DH35" s="93">
        <f t="shared" si="116"/>
        <v>-83.661332648272378</v>
      </c>
      <c r="DI35" s="91">
        <f t="shared" si="96"/>
        <v>-18.04136324817868</v>
      </c>
      <c r="DJ35" s="257">
        <f t="shared" si="97"/>
        <v>162.52701583446023</v>
      </c>
      <c r="DK35" s="92">
        <f t="shared" si="98"/>
        <v>-16.961431173751606</v>
      </c>
      <c r="DL35" s="93">
        <f t="shared" si="99"/>
        <v>162.7764221185121</v>
      </c>
      <c r="DM35" s="260">
        <f t="shared" si="100"/>
        <v>-6.7962004222754988</v>
      </c>
      <c r="DN35" s="270">
        <f t="shared" si="101"/>
        <v>66.022431781126784</v>
      </c>
      <c r="DO35" s="260">
        <f t="shared" si="102"/>
        <v>-5.2516346639650173</v>
      </c>
      <c r="DP35" s="267">
        <f t="shared" si="103"/>
        <v>70.879919563073045</v>
      </c>
      <c r="DQ35" s="257">
        <f t="shared" si="104"/>
        <v>-2.1822359242080029</v>
      </c>
      <c r="DR35" s="267">
        <f t="shared" si="105"/>
        <v>78.865683186187852</v>
      </c>
      <c r="DS35" s="260">
        <f t="shared" si="106"/>
        <v>-5.7162683478484251</v>
      </c>
      <c r="DT35" s="269">
        <f t="shared" si="107"/>
        <v>66.27183806517867</v>
      </c>
      <c r="DU35" s="260">
        <f t="shared" si="108"/>
        <v>-4.1717025895379436</v>
      </c>
      <c r="DV35" s="93">
        <f t="shared" si="109"/>
        <v>71.129325847124917</v>
      </c>
      <c r="DW35" s="257">
        <f t="shared" si="110"/>
        <v>-1.1023038497809292</v>
      </c>
      <c r="DX35" s="93">
        <f t="shared" si="111"/>
        <v>79.115089470239724</v>
      </c>
    </row>
    <row r="36" spans="1:128" ht="15.75" thickBot="1" x14ac:dyDescent="0.3">
      <c r="A36" s="12" t="s">
        <v>181</v>
      </c>
      <c r="B36" s="8">
        <f>VLOOKUP(ILrms_Total_Max_FB_CCM,V4:AL54,10,FALSE)</f>
        <v>0</v>
      </c>
      <c r="C36" s="12" t="s">
        <v>6</v>
      </c>
      <c r="L36" s="58">
        <v>32</v>
      </c>
      <c r="M36" s="62">
        <f t="shared" ref="M36:M54" si="117">VinMin+(L36*DC_Step)</f>
        <v>33.96</v>
      </c>
      <c r="N36" s="42">
        <f t="shared" ref="N36:N54" si="118">(M36*Q36)/(S36*0.9*RR*Fsw)</f>
        <v>1.4055936749740979E-4</v>
      </c>
      <c r="O36" s="19">
        <f t="shared" ref="O36:O54" si="119">(M36*Q36)/(S36*RR*Fsw)</f>
        <v>1.2650343074766882E-4</v>
      </c>
      <c r="P36" s="43">
        <f t="shared" ref="P36:P54" si="120">(M36*Q36)/(S36*1.1*RR*Fsw)</f>
        <v>1.150031188615171E-4</v>
      </c>
      <c r="Q36" s="60">
        <f t="shared" ref="Q36:Q54" si="121">IF(AND(Vout1&lt;&gt;0),(Np*(ABS(Vout1)+Vdiode1))/((Ns1_Flyback*M36)+(Np*(ABS(Vout1)+Vdiode1))),0)</f>
        <v>0.20946596454729266</v>
      </c>
      <c r="R36" s="63">
        <f t="shared" ref="R36:R54" si="122">(Pout_Flyback)/(eff*M36)</f>
        <v>0.19630938358853553</v>
      </c>
      <c r="S36" s="28">
        <f t="shared" ref="S36:S54" si="123">(Pout_Flyback)/(eff*Q36*M36)</f>
        <v>0.9371898867331897</v>
      </c>
      <c r="T36" s="12">
        <f t="shared" ref="T36:T54" si="124">(M36*Q36)/(Lm_Flyback_CCM*Fsw)</f>
        <v>0.29273515045374732</v>
      </c>
      <c r="U36" s="12">
        <f t="shared" si="60"/>
        <v>1.0835574619600634</v>
      </c>
      <c r="V36" s="55">
        <f t="shared" ref="V36:V54" si="125">SUM(W36,(Ns1_Flyback/Np)*Y36,(Ns2_Flyback/Np)*AA36,(Ns3_Flyback/Np)*AC36,(Ns4_Flyback/Np)*AE36,(Ns5_Flyback/Np)*AG36,(Ns6_Flyback/Np)*AI36,(NsAux_Flyback/Np)*AK36)</f>
        <v>1.2591660427272338</v>
      </c>
      <c r="W36" s="54">
        <f t="shared" si="61"/>
        <v>0.43066808337179391</v>
      </c>
      <c r="X36" s="55">
        <f t="shared" si="62"/>
        <v>0.38332443693328977</v>
      </c>
      <c r="Y36" s="54">
        <f t="shared" ref="Y36:Y54" si="126">IF(AND(Vout2&lt;&gt;0,Iout2&lt;&gt;0,Ns2_Flyback&lt;&gt;0),(Iout1/(1-Q36))*SQRT(1-Q36)*SQRT(1+((1/3)*((ABS(Vout2)*(1-Q36)/(Lm_Flyback_CCM*Fsw*((Ns2_Flyback/Np)^2)))/((2*Iout1/(1-Q36))))^2)),0)</f>
        <v>0.5750865376347819</v>
      </c>
      <c r="Z36" s="55">
        <f t="shared" si="63"/>
        <v>0.28412061834502866</v>
      </c>
      <c r="AA36" s="54">
        <f t="shared" ref="AA36:AA54" si="127">IF(AND(Vout2&lt;&gt;0,Iout2&lt;&gt;0,Ns2_Flyback&lt;&gt;0),(Iout2/(1-Q36))*SQRT(1-Q36)*SQRT(1+((1/3)*((ABS(Vout2)*(1-Q36)/(Lm_Flyback_CCM*Fsw*((Ns2_Flyback/Np)^2)))/((2*Iout2/(1-Q36))))^2)),0)</f>
        <v>0.5750865376347819</v>
      </c>
      <c r="AB36" s="55">
        <f t="shared" si="64"/>
        <v>0.28412061834502866</v>
      </c>
      <c r="AC36" s="54">
        <f t="shared" ref="AC36:AC54" si="128">IF(AND(Vout3&lt;&gt;0,Iout3&lt;&gt;0,Ns3_Flyback&lt;&gt;0),(Iout3/(1-Q36))*SQRT(1-Q36)*SQRT(1+((1/3)*((ABS(Vout3)*(1-Q36)/(Lm_Flyback_CCM*Fsw*((Ns3_Flyback/Np)^2)))/((2*Iout3/(1-Q36))))^2)),0)</f>
        <v>0</v>
      </c>
      <c r="AD36" s="55">
        <f t="shared" si="65"/>
        <v>0</v>
      </c>
      <c r="AE36" s="54">
        <f t="shared" ref="AE36:AE54" si="129">IF(AND(Vout4&lt;&gt;0,Iout4&lt;&gt;0,Ns4_Flyback&lt;&gt;0),(Iout4/(1-Q36))*SQRT(1-Q36)*SQRT(1+((1/3)*((ABS(Vout4)*(1-Q36)/(Lm_Flyback_CCM*Fsw*((Ns4_Flyback/Np)^2)))/((2*Iout4/(1-Q36))))^2)),0)</f>
        <v>0</v>
      </c>
      <c r="AF36" s="55">
        <f t="shared" si="66"/>
        <v>0</v>
      </c>
      <c r="AG36" s="54">
        <f t="shared" ref="AG36:AG54" si="130">IF(AND(Vout5&lt;&gt;0,Iout5&lt;&gt;0,Ns5_Flyback&lt;&gt;0),(Iout5/(1-Q36))*SQRT(1-Q36)*SQRT(1+((1/3)*((ABS(Vout5)*(1-Q36)/(Lm_Flyback_CCM*Fsw*((Ns5_Flyback/Np)^2)))/((2*Iout5/(1-Q36))))^2)),0)</f>
        <v>0</v>
      </c>
      <c r="AH36" s="55">
        <f t="shared" si="67"/>
        <v>0</v>
      </c>
      <c r="AI36" s="54">
        <f t="shared" ref="AI36:AI54" si="131">IF(AND(Vout6&lt;&gt;0,Iout6&lt;&gt;0,Ns6_Flyback&lt;&gt;0),(Iout6/(1-Q36))*SQRT(1-Q36)*SQRT(1+((1/3)*((ABS(Vout6)*(1-Q36)/(Lm_Flyback_CCM*Fsw*((Ns6_Flyback/Np)^2)))/((2*Iout6/(1-Q36))))^2)),0)</f>
        <v>0</v>
      </c>
      <c r="AJ36" s="177">
        <f t="shared" si="69"/>
        <v>0</v>
      </c>
      <c r="AK36" s="54">
        <f t="shared" ref="AK36:AK54" si="132">IF(AND(VOUTAUX&lt;&gt;0,IoutAux&lt;&gt;0,NsAux_Flyback&lt;&gt;0),(IoutAux/(1-Q36))*SQRT(1-Q36)*SQRT(1+((1/3)*((ABS(VOUTAUX)*(1-Q36)/(Lm_Flyback_CCM*Fsw*((NsAux_Flyback/Np)^2)))/((2*IoutAux/(1-Q36))))^2)),0)</f>
        <v>0.12703618000140185</v>
      </c>
      <c r="AL36" s="55">
        <f t="shared" ref="AL36:AL54" si="133">IF(AND(IoutAux&lt;&gt;0,VOUTAUX&lt;&gt;0),SQRT((AK36^2)-(IoutAux^2)),0)</f>
        <v>7.834660828235368E-2</v>
      </c>
      <c r="AM36" s="179">
        <f t="shared" ref="AM36:AM54" si="134">((M36*Q36)/(2*Np_T_Flyback_CCM*(Ae_Flyback_CCM/100)*Fsw))*(10^4)</f>
        <v>2.5645194880763063E-2</v>
      </c>
      <c r="AN36" s="52">
        <f t="shared" ref="AN36:AN54" si="135">CM_3F35*(Fsw^x_3F35)*(AM36^y_3F35)*(TC_3F35)</f>
        <v>0</v>
      </c>
      <c r="AO36" s="74">
        <f t="shared" ref="AO36:AO54" si="136">AN36*(Ve_Flyback_CCM/1000)</f>
        <v>0</v>
      </c>
      <c r="AP36" s="78">
        <v>0</v>
      </c>
      <c r="AQ36" s="87">
        <f t="shared" ref="AQ36:AQ54" si="137">CM_3F36*(Fsw^x_3F36)*(AM36^y_3F36)*(TC_3F36)*(Ve_Flyback_CCM/1000)</f>
        <v>0</v>
      </c>
      <c r="AR36" s="46">
        <f t="shared" ref="AR36:AR54" si="138">CM_3C92*(Fsw^x_3C92)*(AM36^y_3C92)*(TC_3C92)/1000</f>
        <v>12.949545971053375</v>
      </c>
      <c r="AS36" s="69">
        <f t="shared" ref="AS36:AS54" si="139">(Ve_Flyback_CCM/1000)*AR36/1000</f>
        <v>9.7121594782900306E-3</v>
      </c>
      <c r="AT36" s="42">
        <f t="shared" ref="AT36:AT54" si="140">(CM_3C96*(Fsw^x_3C96)*(AM36^y_3C96)*(TC_3C96))/1000</f>
        <v>16.133674479561954</v>
      </c>
      <c r="AU36" s="79">
        <f t="shared" ref="AU36:AU54" si="141">((Ve_Flyback_CCM/1000)*AT36)/1000</f>
        <v>1.2100255859671465E-2</v>
      </c>
      <c r="AV36" s="83">
        <f t="shared" si="71"/>
        <v>4.1450828059167426E-3</v>
      </c>
      <c r="AW36" s="84">
        <f t="shared" si="72"/>
        <v>1.5804621696235695E-2</v>
      </c>
      <c r="AX36" s="42">
        <f t="shared" ref="AX36:AX54" si="142">Rdc1_Flyback_CCM*(Iout1^2)</f>
        <v>4.1058732612055629E-2</v>
      </c>
      <c r="AY36" s="43">
        <f t="shared" si="73"/>
        <v>1.3257786875098281E-2</v>
      </c>
      <c r="AZ36" s="85">
        <f t="shared" ref="AZ36:AZ54" si="143">Rdc2_Flyback_CCM*(Iout2^2)</f>
        <v>4.1058732612055629E-2</v>
      </c>
      <c r="BA36" s="86">
        <f t="shared" si="74"/>
        <v>1.3257786875098281E-2</v>
      </c>
      <c r="BB36" s="85">
        <f t="shared" ref="BB36:BB54" si="144">Rdc3_Flyback_CCM*(Iout3^2)</f>
        <v>0</v>
      </c>
      <c r="BC36" s="86">
        <f t="shared" si="75"/>
        <v>0</v>
      </c>
      <c r="BD36" s="85">
        <f t="shared" ref="BD36:BD54" si="145">Rdc4_Flyback_CCM*(Iout4^2)</f>
        <v>0</v>
      </c>
      <c r="BE36" s="86">
        <f t="shared" si="76"/>
        <v>0</v>
      </c>
      <c r="BF36" s="85">
        <f t="shared" ref="BF36:BF54" si="146">Rdc5_Flyback_CCM*(Iout5^2)</f>
        <v>0</v>
      </c>
      <c r="BG36" s="86">
        <f t="shared" si="77"/>
        <v>0</v>
      </c>
      <c r="BH36" s="85">
        <f t="shared" ref="BH36:BH54" si="147">Rdc6_Flyback_CCM*(Iout6^2)</f>
        <v>0</v>
      </c>
      <c r="BI36" s="86">
        <f t="shared" si="78"/>
        <v>0</v>
      </c>
      <c r="BJ36" s="85">
        <f t="shared" ref="BJ36:BJ54" si="148">RdcAUX_Flyback_CCM*(IoutAux^2)</f>
        <v>3.1673879443585777E-3</v>
      </c>
      <c r="BK36" s="207">
        <f t="shared" ref="BK36:BK54" si="149">RacAUX_Flyback_CCM*(AL36^2)</f>
        <v>1.9442032266528625E-3</v>
      </c>
      <c r="BL36" s="85">
        <f t="shared" si="79"/>
        <v>0.13369433464747171</v>
      </c>
      <c r="BM36" s="176">
        <f t="shared" si="80"/>
        <v>0.13369433464747171</v>
      </c>
      <c r="BN36" s="176">
        <f t="shared" si="81"/>
        <v>0.13369433464747171</v>
      </c>
      <c r="BO36" s="176">
        <f t="shared" si="82"/>
        <v>0.14340649412576173</v>
      </c>
      <c r="BP36" s="86">
        <f t="shared" si="83"/>
        <v>0.14579459050714319</v>
      </c>
      <c r="BQ36" s="211">
        <f t="shared" si="84"/>
        <v>2.6976161859437551E-3</v>
      </c>
      <c r="BR36" s="237">
        <f t="shared" ref="BR36:BR54" si="150">IF(AND(Vout1&lt;&gt;0,Iout1&lt;&gt;0),(Iout1^2)*$B$101,0)</f>
        <v>2.5000000000000001E-3</v>
      </c>
      <c r="BS36" s="237">
        <f t="shared" ref="BS36:BS54" si="151">IF(AND(Vout2&lt;&gt;0,Iout2&lt;&gt;0),(Iout2^2)*$B$102,0)</f>
        <v>2.5000000000000001E-3</v>
      </c>
      <c r="BT36" s="237">
        <f t="shared" ref="BT36:BT54" si="152">IF(AND(Vout3&lt;&gt;0,Iout3&lt;&gt;0),(Iout3^2)*$B$103,0)</f>
        <v>0</v>
      </c>
      <c r="BU36" s="237">
        <f t="shared" ref="BU36:BU54" si="153">IF(AND(Vout4&lt;&gt;0,Iout4&lt;&gt;0),(Iout4^2)*$B$104,0)</f>
        <v>0</v>
      </c>
      <c r="BV36" s="237">
        <f t="shared" ref="BV36:BV54" si="154">IF(AND(Vout5&lt;&gt;0,Iout5&lt;&gt;0),(Iout5^2)*$B$105,0)</f>
        <v>0</v>
      </c>
      <c r="BW36" s="237">
        <f t="shared" ref="BW36:BW54" si="155">IF(AND(Vout6&lt;&gt;0,Iout6&lt;&gt;0),(Iout6^2)*$B$106,0)</f>
        <v>0</v>
      </c>
      <c r="BX36" s="212">
        <f t="shared" ref="BX36:BX54" si="156">IF(AND(VOUTAUX&lt;&gt;0,IoutAux&lt;&gt;0),(IoutAux^2)*$B$107,0)</f>
        <v>1.0000000000000002E-4</v>
      </c>
      <c r="BY36" s="238">
        <f t="shared" si="85"/>
        <v>7.7976161859437563E-3</v>
      </c>
      <c r="BZ36" s="244">
        <f t="shared" si="86"/>
        <v>1.9268687042455393E-4</v>
      </c>
      <c r="CA36" s="243">
        <f t="shared" ref="CA36:CA54" si="157">0.5*M36*S36*Fsw*T_Rise_Fall</f>
        <v>0.14322135849056608</v>
      </c>
      <c r="CB36" s="243">
        <f t="shared" ref="CB36:CB54" si="158">$B$89*$B$80*Fsw</f>
        <v>0.23099999999999998</v>
      </c>
      <c r="CC36" s="238">
        <f t="shared" si="87"/>
        <v>0.37441404536099065</v>
      </c>
      <c r="CD36" s="244">
        <f t="shared" ref="CD36:CD54" si="159">IF(AND(Iout1&lt;&gt;0,Vout1&lt;&gt;0,Vdiode1&lt;&gt;0),Vdiode1*Iout1,0)</f>
        <v>0.15</v>
      </c>
      <c r="CE36" s="243">
        <f t="shared" ref="CE36:CE54" si="160">ABS(Vout1)*Fsw*Flyback_Qrr</f>
        <v>3.0000000000000002E-2</v>
      </c>
      <c r="CF36" s="243">
        <f t="shared" si="42"/>
        <v>0.15</v>
      </c>
      <c r="CG36" s="243">
        <f t="shared" ref="CG36:CG54" si="161">ABS(Vout2)*Fsw*Flyback_Qrr</f>
        <v>3.0000000000000002E-2</v>
      </c>
      <c r="CH36" s="243">
        <f t="shared" si="44"/>
        <v>0</v>
      </c>
      <c r="CI36" s="243">
        <f t="shared" ref="CI36:CI54" si="162">ABS(Vout3)*Fsw*Flyback_Qrr</f>
        <v>0</v>
      </c>
      <c r="CJ36" s="243">
        <f t="shared" si="46"/>
        <v>0</v>
      </c>
      <c r="CK36" s="243">
        <f t="shared" ref="CK36:CK54" si="163">ABS(Vout4)*Fsw*Flyback_Qrr</f>
        <v>0</v>
      </c>
      <c r="CL36" s="243">
        <f t="shared" si="48"/>
        <v>0</v>
      </c>
      <c r="CM36" s="243">
        <f t="shared" ref="CM36:CM54" si="164">ABS(Vout5)*Fsw*Flyback_Qrr</f>
        <v>0</v>
      </c>
      <c r="CN36" s="243">
        <f t="shared" si="50"/>
        <v>0</v>
      </c>
      <c r="CO36" s="243">
        <f t="shared" ref="CO36:CO54" si="165">ABS(Vout6)*Fsw*Flyback_Qrr</f>
        <v>0</v>
      </c>
      <c r="CP36" s="243">
        <f t="shared" si="52"/>
        <v>0.03</v>
      </c>
      <c r="CQ36" s="243">
        <f t="shared" ref="CQ36:CQ54" si="166">ABS(VOUTAUX)*Fsw*Flyback_Qrr</f>
        <v>6.0000000000000005E-2</v>
      </c>
      <c r="CR36" s="238">
        <f t="shared" ref="CR36:CR54" si="167">SUM(CD36:CP36)</f>
        <v>0.39</v>
      </c>
      <c r="CS36" s="246">
        <f t="shared" ref="CS36:CS54" si="168">IF(AND(Vout1&lt;&gt;0,Ns1_Flyback&lt;&gt;0),0.5*(U36^2)*LL_Flyback_CCM*Fsw*((Vclamp_Flyback_CCM-M36)/((Vclamp_Flyback_CCM-M36)+((Np/Ns1_Flyback)*ABS(Vout1)))),0)</f>
        <v>0.15605480015725276</v>
      </c>
      <c r="CT36" s="188">
        <f t="shared" si="88"/>
        <v>0.92826646170418714</v>
      </c>
      <c r="CU36" s="206">
        <f t="shared" ref="CU36:CU54" si="169">CT36+Pout_Flyback</f>
        <v>6.9282664617041867</v>
      </c>
      <c r="CV36" s="227">
        <f t="shared" ref="CV36:CV54" si="170">Pout_Flyback/CU36</f>
        <v>0.86601749992798982</v>
      </c>
      <c r="CW36">
        <f t="shared" ref="CW36:CW54" si="171">M36+(ABS(Vout1)*(Np/Ns1_Flyback))</f>
        <v>42.448964346349747</v>
      </c>
      <c r="CX36">
        <f t="shared" ref="CX36:CX54" si="172">IF(AND(Vout1&lt;&gt;0,Ns1_Flyback&lt;&gt;0),M36+(ABS(Vout1)*(Np/Ns1_Flyback))+(U36*SQRT(LL_Flyback_CCM/Coss_Flyback_CCM)),0)</f>
        <v>90.907127195746625</v>
      </c>
      <c r="DA36" s="22">
        <v>6000</v>
      </c>
      <c r="DB36" s="22">
        <f t="shared" si="89"/>
        <v>37699.111843077517</v>
      </c>
      <c r="DC36" s="260">
        <f t="shared" si="90"/>
        <v>9.7326742667160637</v>
      </c>
      <c r="DD36" s="93">
        <f t="shared" si="112"/>
        <v>-102.55858657313131</v>
      </c>
      <c r="DE36" s="260">
        <f t="shared" si="113"/>
        <v>11.260521946228561</v>
      </c>
      <c r="DF36" s="93">
        <f t="shared" si="114"/>
        <v>-96.787434196551615</v>
      </c>
      <c r="DG36" s="257">
        <f t="shared" si="115"/>
        <v>14.31427214378926</v>
      </c>
      <c r="DH36" s="93">
        <f t="shared" si="116"/>
        <v>-86.190923984525483</v>
      </c>
      <c r="DI36" s="91">
        <f t="shared" si="96"/>
        <v>-18.133242965770197</v>
      </c>
      <c r="DJ36" s="257">
        <f t="shared" si="97"/>
        <v>161.20590512649358</v>
      </c>
      <c r="DK36" s="92">
        <f t="shared" si="98"/>
        <v>-17.051742316088912</v>
      </c>
      <c r="DL36" s="93">
        <f t="shared" si="99"/>
        <v>161.43209481230289</v>
      </c>
      <c r="DM36" s="260">
        <f t="shared" si="100"/>
        <v>-8.4005686990541335</v>
      </c>
      <c r="DN36" s="270">
        <f t="shared" si="101"/>
        <v>58.64731855336229</v>
      </c>
      <c r="DO36" s="260">
        <f t="shared" si="102"/>
        <v>-6.8727210195416362</v>
      </c>
      <c r="DP36" s="267">
        <f t="shared" si="103"/>
        <v>64.418470929941961</v>
      </c>
      <c r="DQ36" s="257">
        <f t="shared" si="104"/>
        <v>-3.8189708219809368</v>
      </c>
      <c r="DR36" s="267">
        <f t="shared" si="105"/>
        <v>75.014981141968093</v>
      </c>
      <c r="DS36" s="260">
        <f t="shared" si="106"/>
        <v>-7.3190680493728486</v>
      </c>
      <c r="DT36" s="269">
        <f t="shared" si="107"/>
        <v>58.8735082391715</v>
      </c>
      <c r="DU36" s="260">
        <f t="shared" si="108"/>
        <v>-5.7912203698603513</v>
      </c>
      <c r="DV36" s="93">
        <f t="shared" si="109"/>
        <v>64.644660615751278</v>
      </c>
      <c r="DW36" s="257">
        <f t="shared" si="110"/>
        <v>-2.7374701722996519</v>
      </c>
      <c r="DX36" s="93">
        <f t="shared" si="111"/>
        <v>75.24117082777741</v>
      </c>
    </row>
    <row r="37" spans="1:128" ht="15.75" thickBot="1" x14ac:dyDescent="0.3">
      <c r="A37" s="12" t="s">
        <v>182</v>
      </c>
      <c r="B37" s="8">
        <f>VLOOKUP(ILrms_Total_Max_FB_CCM,V4:AL54,12,FALSE)</f>
        <v>0</v>
      </c>
      <c r="C37" s="12" t="s">
        <v>6</v>
      </c>
      <c r="L37" s="58">
        <v>33</v>
      </c>
      <c r="M37" s="62">
        <f t="shared" si="117"/>
        <v>34.74</v>
      </c>
      <c r="N37" s="42">
        <f t="shared" si="118"/>
        <v>1.4189086461757067E-4</v>
      </c>
      <c r="O37" s="19">
        <f t="shared" si="119"/>
        <v>1.2770177815581361E-4</v>
      </c>
      <c r="P37" s="43">
        <f t="shared" si="120"/>
        <v>1.1609252559619417E-4</v>
      </c>
      <c r="Q37" s="60">
        <f t="shared" si="121"/>
        <v>0.20573048685149284</v>
      </c>
      <c r="R37" s="63">
        <f t="shared" si="122"/>
        <v>0.19190174630589138</v>
      </c>
      <c r="S37" s="28">
        <f t="shared" si="123"/>
        <v>0.93278224945054555</v>
      </c>
      <c r="T37" s="12">
        <f t="shared" si="124"/>
        <v>0.29411839972102316</v>
      </c>
      <c r="U37" s="12">
        <f t="shared" si="60"/>
        <v>1.0798414493110571</v>
      </c>
      <c r="V37" s="55">
        <f t="shared" si="125"/>
        <v>1.2519747601878275</v>
      </c>
      <c r="W37" s="54">
        <f t="shared" si="61"/>
        <v>0.42483598375491305</v>
      </c>
      <c r="X37" s="55">
        <f t="shared" si="62"/>
        <v>0.37902418505651331</v>
      </c>
      <c r="Y37" s="54">
        <f t="shared" si="126"/>
        <v>0.57397169149074723</v>
      </c>
      <c r="Z37" s="55">
        <f t="shared" si="63"/>
        <v>0.28185723803505475</v>
      </c>
      <c r="AA37" s="54">
        <f t="shared" si="127"/>
        <v>0.57397169149074723</v>
      </c>
      <c r="AB37" s="55">
        <f t="shared" si="64"/>
        <v>0.28185723803505475</v>
      </c>
      <c r="AC37" s="54">
        <f t="shared" si="128"/>
        <v>0</v>
      </c>
      <c r="AD37" s="55">
        <f t="shared" si="65"/>
        <v>0</v>
      </c>
      <c r="AE37" s="54">
        <f t="shared" si="129"/>
        <v>0</v>
      </c>
      <c r="AF37" s="55">
        <f t="shared" si="66"/>
        <v>0</v>
      </c>
      <c r="AG37" s="54">
        <f t="shared" si="130"/>
        <v>0</v>
      </c>
      <c r="AH37" s="55">
        <f t="shared" si="67"/>
        <v>0</v>
      </c>
      <c r="AI37" s="54">
        <f t="shared" si="131"/>
        <v>0</v>
      </c>
      <c r="AJ37" s="177">
        <f t="shared" si="69"/>
        <v>0</v>
      </c>
      <c r="AK37" s="54">
        <f t="shared" si="132"/>
        <v>0.12699758104021402</v>
      </c>
      <c r="AL37" s="55">
        <f t="shared" si="133"/>
        <v>7.8284005965878659E-2</v>
      </c>
      <c r="AM37" s="179">
        <f t="shared" si="134"/>
        <v>2.5766375056676262E-2</v>
      </c>
      <c r="AN37" s="52">
        <f t="shared" si="135"/>
        <v>0</v>
      </c>
      <c r="AO37" s="74">
        <f t="shared" si="136"/>
        <v>0</v>
      </c>
      <c r="AP37" s="78">
        <v>0</v>
      </c>
      <c r="AQ37" s="87">
        <f t="shared" si="137"/>
        <v>0</v>
      </c>
      <c r="AR37" s="46">
        <f t="shared" si="138"/>
        <v>13.112950267911724</v>
      </c>
      <c r="AS37" s="69">
        <f t="shared" si="139"/>
        <v>9.8347127009337926E-3</v>
      </c>
      <c r="AT37" s="42">
        <f t="shared" si="140"/>
        <v>16.321861881948244</v>
      </c>
      <c r="AU37" s="79">
        <f t="shared" si="141"/>
        <v>1.2241396411461183E-2</v>
      </c>
      <c r="AV37" s="83">
        <f t="shared" si="71"/>
        <v>3.9610374249338951E-3</v>
      </c>
      <c r="AW37" s="84">
        <f t="shared" si="72"/>
        <v>1.5452008463942154E-2</v>
      </c>
      <c r="AX37" s="42">
        <f t="shared" si="142"/>
        <v>4.1058732612055629E-2</v>
      </c>
      <c r="AY37" s="43">
        <f t="shared" si="73"/>
        <v>1.3047398129452799E-2</v>
      </c>
      <c r="AZ37" s="85">
        <f t="shared" si="143"/>
        <v>4.1058732612055629E-2</v>
      </c>
      <c r="BA37" s="86">
        <f t="shared" si="74"/>
        <v>1.3047398129452799E-2</v>
      </c>
      <c r="BB37" s="85">
        <f t="shared" si="144"/>
        <v>0</v>
      </c>
      <c r="BC37" s="86">
        <f t="shared" si="75"/>
        <v>0</v>
      </c>
      <c r="BD37" s="85">
        <f t="shared" si="145"/>
        <v>0</v>
      </c>
      <c r="BE37" s="86">
        <f t="shared" si="76"/>
        <v>0</v>
      </c>
      <c r="BF37" s="85">
        <f t="shared" si="146"/>
        <v>0</v>
      </c>
      <c r="BG37" s="86">
        <f t="shared" si="77"/>
        <v>0</v>
      </c>
      <c r="BH37" s="85">
        <f t="shared" si="147"/>
        <v>0</v>
      </c>
      <c r="BI37" s="86">
        <f t="shared" si="78"/>
        <v>0</v>
      </c>
      <c r="BJ37" s="85">
        <f t="shared" si="148"/>
        <v>3.1673879443585777E-3</v>
      </c>
      <c r="BK37" s="207">
        <f t="shared" si="149"/>
        <v>1.9410974636355006E-3</v>
      </c>
      <c r="BL37" s="85">
        <f t="shared" si="79"/>
        <v>0.13273379277988698</v>
      </c>
      <c r="BM37" s="176">
        <f t="shared" si="80"/>
        <v>0.13273379277988698</v>
      </c>
      <c r="BN37" s="176">
        <f t="shared" si="81"/>
        <v>0.13273379277988698</v>
      </c>
      <c r="BO37" s="176">
        <f t="shared" si="82"/>
        <v>0.14256850548082078</v>
      </c>
      <c r="BP37" s="86">
        <f t="shared" si="83"/>
        <v>0.14497518919134816</v>
      </c>
      <c r="BQ37" s="211">
        <f t="shared" si="84"/>
        <v>2.5778396164675491E-3</v>
      </c>
      <c r="BR37" s="237">
        <f t="shared" si="150"/>
        <v>2.5000000000000001E-3</v>
      </c>
      <c r="BS37" s="237">
        <f t="shared" si="151"/>
        <v>2.5000000000000001E-3</v>
      </c>
      <c r="BT37" s="237">
        <f t="shared" si="152"/>
        <v>0</v>
      </c>
      <c r="BU37" s="237">
        <f t="shared" si="153"/>
        <v>0</v>
      </c>
      <c r="BV37" s="237">
        <f t="shared" si="154"/>
        <v>0</v>
      </c>
      <c r="BW37" s="237">
        <f t="shared" si="155"/>
        <v>0</v>
      </c>
      <c r="BX37" s="212">
        <f t="shared" si="156"/>
        <v>1.0000000000000002E-4</v>
      </c>
      <c r="BY37" s="238">
        <f t="shared" si="85"/>
        <v>7.6778396164675503E-3</v>
      </c>
      <c r="BZ37" s="244">
        <f t="shared" si="86"/>
        <v>1.8413140117625349E-4</v>
      </c>
      <c r="CA37" s="243">
        <f t="shared" si="157"/>
        <v>0.14582184905660381</v>
      </c>
      <c r="CB37" s="243">
        <f t="shared" si="158"/>
        <v>0.23099999999999998</v>
      </c>
      <c r="CC37" s="238">
        <f t="shared" si="87"/>
        <v>0.37700598045778005</v>
      </c>
      <c r="CD37" s="244">
        <f t="shared" si="159"/>
        <v>0.15</v>
      </c>
      <c r="CE37" s="243">
        <f t="shared" si="160"/>
        <v>3.0000000000000002E-2</v>
      </c>
      <c r="CF37" s="243">
        <f t="shared" si="42"/>
        <v>0.15</v>
      </c>
      <c r="CG37" s="243">
        <f t="shared" si="161"/>
        <v>3.0000000000000002E-2</v>
      </c>
      <c r="CH37" s="243">
        <f t="shared" si="44"/>
        <v>0</v>
      </c>
      <c r="CI37" s="243">
        <f t="shared" si="162"/>
        <v>0</v>
      </c>
      <c r="CJ37" s="243">
        <f t="shared" si="46"/>
        <v>0</v>
      </c>
      <c r="CK37" s="243">
        <f t="shared" si="163"/>
        <v>0</v>
      </c>
      <c r="CL37" s="243">
        <f t="shared" si="48"/>
        <v>0</v>
      </c>
      <c r="CM37" s="243">
        <f t="shared" si="164"/>
        <v>0</v>
      </c>
      <c r="CN37" s="243">
        <f t="shared" si="50"/>
        <v>0</v>
      </c>
      <c r="CO37" s="243">
        <f t="shared" si="165"/>
        <v>0</v>
      </c>
      <c r="CP37" s="243">
        <f t="shared" si="52"/>
        <v>0.03</v>
      </c>
      <c r="CQ37" s="243">
        <f t="shared" si="166"/>
        <v>6.0000000000000005E-2</v>
      </c>
      <c r="CR37" s="238">
        <f t="shared" si="167"/>
        <v>0.39</v>
      </c>
      <c r="CS37" s="246">
        <f t="shared" si="168"/>
        <v>0.15477556211709459</v>
      </c>
      <c r="CT37" s="188">
        <f t="shared" si="88"/>
        <v>0.92945938219134216</v>
      </c>
      <c r="CU37" s="206">
        <f t="shared" si="169"/>
        <v>6.9294593821913422</v>
      </c>
      <c r="CV37" s="227">
        <f t="shared" si="170"/>
        <v>0.86586841325889785</v>
      </c>
      <c r="CW37">
        <f t="shared" si="171"/>
        <v>43.228964346349748</v>
      </c>
      <c r="CX37">
        <f t="shared" si="172"/>
        <v>91.52094205797809</v>
      </c>
      <c r="DA37" s="22">
        <v>7000</v>
      </c>
      <c r="DB37" s="22">
        <f t="shared" si="89"/>
        <v>43982.297150257102</v>
      </c>
      <c r="DC37" s="260">
        <f t="shared" si="90"/>
        <v>8.4366689066154255</v>
      </c>
      <c r="DD37" s="93">
        <f t="shared" si="112"/>
        <v>-107.95575605945149</v>
      </c>
      <c r="DE37" s="260">
        <f t="shared" si="113"/>
        <v>9.9450788309226574</v>
      </c>
      <c r="DF37" s="93">
        <f t="shared" si="114"/>
        <v>-101.3007002984873</v>
      </c>
      <c r="DG37" s="257">
        <f t="shared" si="115"/>
        <v>12.996023794653816</v>
      </c>
      <c r="DH37" s="93">
        <f t="shared" si="116"/>
        <v>-88.240616676797075</v>
      </c>
      <c r="DI37" s="91">
        <f t="shared" si="96"/>
        <v>-18.232435705914302</v>
      </c>
      <c r="DJ37" s="257">
        <f t="shared" si="97"/>
        <v>159.65999041155143</v>
      </c>
      <c r="DK37" s="92">
        <f t="shared" si="98"/>
        <v>-17.149626202821612</v>
      </c>
      <c r="DL37" s="93">
        <f t="shared" si="99"/>
        <v>159.87152679216391</v>
      </c>
      <c r="DM37" s="260">
        <f t="shared" si="100"/>
        <v>-9.7957667992988764</v>
      </c>
      <c r="DN37" s="270">
        <f t="shared" si="101"/>
        <v>51.704234352100016</v>
      </c>
      <c r="DO37" s="260">
        <f t="shared" si="102"/>
        <v>-8.2873568749916444</v>
      </c>
      <c r="DP37" s="267">
        <f t="shared" si="103"/>
        <v>58.359290113064134</v>
      </c>
      <c r="DQ37" s="257">
        <f t="shared" si="104"/>
        <v>-5.2364119112604861</v>
      </c>
      <c r="DR37" s="267">
        <f t="shared" si="105"/>
        <v>71.419373734754359</v>
      </c>
      <c r="DS37" s="260">
        <f t="shared" si="106"/>
        <v>-8.7129572962061861</v>
      </c>
      <c r="DT37" s="269">
        <f t="shared" si="107"/>
        <v>51.915770732712474</v>
      </c>
      <c r="DU37" s="260">
        <f t="shared" si="108"/>
        <v>-7.2045473718989541</v>
      </c>
      <c r="DV37" s="93">
        <f t="shared" si="109"/>
        <v>58.570826493676606</v>
      </c>
      <c r="DW37" s="257">
        <f t="shared" si="110"/>
        <v>-4.1536024081677958</v>
      </c>
      <c r="DX37" s="93">
        <f t="shared" si="111"/>
        <v>71.630910115366831</v>
      </c>
    </row>
    <row r="38" spans="1:128" ht="15.75" thickBot="1" x14ac:dyDescent="0.3">
      <c r="A38" s="12" t="s">
        <v>183</v>
      </c>
      <c r="B38" s="8">
        <f>VLOOKUP(ILrms_Total_Max_FB_CCM,V4:AL54,14,FALSE)</f>
        <v>0</v>
      </c>
      <c r="C38" s="12" t="s">
        <v>6</v>
      </c>
      <c r="L38" s="58">
        <v>34</v>
      </c>
      <c r="M38" s="62">
        <f t="shared" si="117"/>
        <v>35.519999999999996</v>
      </c>
      <c r="N38" s="42">
        <f t="shared" si="118"/>
        <v>1.4318165448985108E-4</v>
      </c>
      <c r="O38" s="19">
        <f t="shared" si="119"/>
        <v>1.2886348904086597E-4</v>
      </c>
      <c r="P38" s="43">
        <f t="shared" si="120"/>
        <v>1.1714862640078724E-4</v>
      </c>
      <c r="Q38" s="60">
        <f t="shared" si="121"/>
        <v>0.20212590689699361</v>
      </c>
      <c r="R38" s="63">
        <f t="shared" si="122"/>
        <v>0.1876876876876877</v>
      </c>
      <c r="S38" s="28">
        <f t="shared" si="123"/>
        <v>0.92856819083234166</v>
      </c>
      <c r="T38" s="12">
        <f t="shared" si="124"/>
        <v>0.29545317748893879</v>
      </c>
      <c r="U38" s="12">
        <f t="shared" si="60"/>
        <v>1.076294779576811</v>
      </c>
      <c r="V38" s="55">
        <f t="shared" si="125"/>
        <v>1.2450716737426282</v>
      </c>
      <c r="W38" s="54">
        <f t="shared" si="61"/>
        <v>0.41922685695293788</v>
      </c>
      <c r="X38" s="55">
        <f t="shared" si="62"/>
        <v>0.37486596201987721</v>
      </c>
      <c r="Y38" s="54">
        <f t="shared" si="126"/>
        <v>0.57290699051638905</v>
      </c>
      <c r="Z38" s="55">
        <f t="shared" si="63"/>
        <v>0.2796827126987757</v>
      </c>
      <c r="AA38" s="54">
        <f t="shared" si="127"/>
        <v>0.57290699051638905</v>
      </c>
      <c r="AB38" s="55">
        <f t="shared" si="64"/>
        <v>0.2796827126987757</v>
      </c>
      <c r="AC38" s="54">
        <f t="shared" si="128"/>
        <v>0</v>
      </c>
      <c r="AD38" s="55">
        <f t="shared" si="65"/>
        <v>0</v>
      </c>
      <c r="AE38" s="54">
        <f t="shared" si="129"/>
        <v>0</v>
      </c>
      <c r="AF38" s="55">
        <f t="shared" si="66"/>
        <v>0</v>
      </c>
      <c r="AG38" s="54">
        <f t="shared" si="130"/>
        <v>0</v>
      </c>
      <c r="AH38" s="55">
        <f t="shared" si="67"/>
        <v>0</v>
      </c>
      <c r="AI38" s="54">
        <f t="shared" si="131"/>
        <v>0</v>
      </c>
      <c r="AJ38" s="177">
        <f t="shared" si="69"/>
        <v>0</v>
      </c>
      <c r="AK38" s="54">
        <f t="shared" si="132"/>
        <v>0.12696415640150055</v>
      </c>
      <c r="AL38" s="55">
        <f t="shared" si="133"/>
        <v>7.8229770616720415E-2</v>
      </c>
      <c r="AM38" s="179">
        <f t="shared" si="134"/>
        <v>2.5883308865027085E-2</v>
      </c>
      <c r="AN38" s="52">
        <f t="shared" si="135"/>
        <v>0</v>
      </c>
      <c r="AO38" s="74">
        <f t="shared" si="136"/>
        <v>0</v>
      </c>
      <c r="AP38" s="78">
        <v>0</v>
      </c>
      <c r="AQ38" s="87">
        <f t="shared" si="137"/>
        <v>0</v>
      </c>
      <c r="AR38" s="46">
        <f t="shared" si="138"/>
        <v>13.271842712052266</v>
      </c>
      <c r="AS38" s="69">
        <f t="shared" si="139"/>
        <v>9.9538820340391992E-3</v>
      </c>
      <c r="AT38" s="42">
        <f t="shared" si="140"/>
        <v>16.504684099914591</v>
      </c>
      <c r="AU38" s="79">
        <f t="shared" si="141"/>
        <v>1.2378513074935944E-2</v>
      </c>
      <c r="AV38" s="83">
        <f t="shared" si="71"/>
        <v>3.7889830264228683E-3</v>
      </c>
      <c r="AW38" s="84">
        <f t="shared" si="72"/>
        <v>1.5114824478566562E-2</v>
      </c>
      <c r="AX38" s="42">
        <f t="shared" si="142"/>
        <v>4.1058732612055629E-2</v>
      </c>
      <c r="AY38" s="43">
        <f t="shared" si="73"/>
        <v>1.2846853672478094E-2</v>
      </c>
      <c r="AZ38" s="85">
        <f t="shared" si="143"/>
        <v>4.1058732612055629E-2</v>
      </c>
      <c r="BA38" s="86">
        <f t="shared" si="74"/>
        <v>1.2846853672478094E-2</v>
      </c>
      <c r="BB38" s="85">
        <f t="shared" si="144"/>
        <v>0</v>
      </c>
      <c r="BC38" s="86">
        <f t="shared" si="75"/>
        <v>0</v>
      </c>
      <c r="BD38" s="85">
        <f t="shared" si="145"/>
        <v>0</v>
      </c>
      <c r="BE38" s="86">
        <f t="shared" si="76"/>
        <v>0</v>
      </c>
      <c r="BF38" s="85">
        <f t="shared" si="146"/>
        <v>0</v>
      </c>
      <c r="BG38" s="86">
        <f t="shared" si="77"/>
        <v>0</v>
      </c>
      <c r="BH38" s="85">
        <f t="shared" si="147"/>
        <v>0</v>
      </c>
      <c r="BI38" s="86">
        <f t="shared" si="78"/>
        <v>0</v>
      </c>
      <c r="BJ38" s="85">
        <f t="shared" si="148"/>
        <v>3.1673879443585777E-3</v>
      </c>
      <c r="BK38" s="207">
        <f t="shared" si="149"/>
        <v>1.9384088012548834E-3</v>
      </c>
      <c r="BL38" s="85">
        <f t="shared" si="79"/>
        <v>0.13182077681967033</v>
      </c>
      <c r="BM38" s="176">
        <f t="shared" si="80"/>
        <v>0.13182077681967033</v>
      </c>
      <c r="BN38" s="176">
        <f t="shared" si="81"/>
        <v>0.13182077681967033</v>
      </c>
      <c r="BO38" s="176">
        <f t="shared" si="82"/>
        <v>0.14177465885370955</v>
      </c>
      <c r="BP38" s="86">
        <f t="shared" si="83"/>
        <v>0.14419928989460629</v>
      </c>
      <c r="BQ38" s="211">
        <f t="shared" si="84"/>
        <v>2.4658667676685699E-3</v>
      </c>
      <c r="BR38" s="237">
        <f t="shared" si="150"/>
        <v>2.5000000000000001E-3</v>
      </c>
      <c r="BS38" s="237">
        <f t="shared" si="151"/>
        <v>2.5000000000000001E-3</v>
      </c>
      <c r="BT38" s="237">
        <f t="shared" si="152"/>
        <v>0</v>
      </c>
      <c r="BU38" s="237">
        <f t="shared" si="153"/>
        <v>0</v>
      </c>
      <c r="BV38" s="237">
        <f t="shared" si="154"/>
        <v>0</v>
      </c>
      <c r="BW38" s="237">
        <f t="shared" si="155"/>
        <v>0</v>
      </c>
      <c r="BX38" s="212">
        <f t="shared" si="156"/>
        <v>1.0000000000000002E-4</v>
      </c>
      <c r="BY38" s="238">
        <f t="shared" si="85"/>
        <v>7.5658667676685712E-3</v>
      </c>
      <c r="BZ38" s="244">
        <f t="shared" si="86"/>
        <v>1.7613334054775498E-4</v>
      </c>
      <c r="CA38" s="243">
        <f t="shared" si="157"/>
        <v>0.14842233962264148</v>
      </c>
      <c r="CB38" s="243">
        <f t="shared" si="158"/>
        <v>0.23099999999999998</v>
      </c>
      <c r="CC38" s="238">
        <f t="shared" si="87"/>
        <v>0.37959847296318922</v>
      </c>
      <c r="CD38" s="244">
        <f t="shared" si="159"/>
        <v>0.15</v>
      </c>
      <c r="CE38" s="243">
        <f t="shared" si="160"/>
        <v>3.0000000000000002E-2</v>
      </c>
      <c r="CF38" s="243">
        <f t="shared" si="42"/>
        <v>0.15</v>
      </c>
      <c r="CG38" s="243">
        <f t="shared" si="161"/>
        <v>3.0000000000000002E-2</v>
      </c>
      <c r="CH38" s="243">
        <f t="shared" si="44"/>
        <v>0</v>
      </c>
      <c r="CI38" s="243">
        <f t="shared" si="162"/>
        <v>0</v>
      </c>
      <c r="CJ38" s="243">
        <f t="shared" si="46"/>
        <v>0</v>
      </c>
      <c r="CK38" s="243">
        <f t="shared" si="163"/>
        <v>0</v>
      </c>
      <c r="CL38" s="243">
        <f t="shared" si="48"/>
        <v>0</v>
      </c>
      <c r="CM38" s="243">
        <f t="shared" si="164"/>
        <v>0</v>
      </c>
      <c r="CN38" s="243">
        <f t="shared" si="50"/>
        <v>0</v>
      </c>
      <c r="CO38" s="243">
        <f t="shared" si="165"/>
        <v>0</v>
      </c>
      <c r="CP38" s="243">
        <f t="shared" si="52"/>
        <v>0.03</v>
      </c>
      <c r="CQ38" s="243">
        <f t="shared" si="166"/>
        <v>6.0000000000000005E-2</v>
      </c>
      <c r="CR38" s="238">
        <f t="shared" si="167"/>
        <v>0.39</v>
      </c>
      <c r="CS38" s="246">
        <f t="shared" si="168"/>
        <v>0.15354673041305014</v>
      </c>
      <c r="CT38" s="188">
        <f t="shared" si="88"/>
        <v>0.93071107014390797</v>
      </c>
      <c r="CU38" s="206">
        <f t="shared" si="169"/>
        <v>6.9307110701439081</v>
      </c>
      <c r="CV38" s="227">
        <f t="shared" si="170"/>
        <v>0.86571203723190515</v>
      </c>
      <c r="CW38">
        <f t="shared" si="171"/>
        <v>44.008964346349742</v>
      </c>
      <c r="CX38">
        <f t="shared" si="172"/>
        <v>92.142330165587765</v>
      </c>
      <c r="DA38" s="22">
        <v>8000</v>
      </c>
      <c r="DB38" s="22">
        <f t="shared" si="89"/>
        <v>50265.482457436687</v>
      </c>
      <c r="DC38" s="260">
        <f t="shared" si="90"/>
        <v>7.304395330579049</v>
      </c>
      <c r="DD38" s="93">
        <f t="shared" si="112"/>
        <v>-112.90576042557737</v>
      </c>
      <c r="DE38" s="260">
        <f t="shared" si="113"/>
        <v>8.7907966698470137</v>
      </c>
      <c r="DF38" s="93">
        <f t="shared" si="114"/>
        <v>-105.40013794454318</v>
      </c>
      <c r="DG38" s="257">
        <f t="shared" si="115"/>
        <v>11.846713935001244</v>
      </c>
      <c r="DH38" s="93">
        <f t="shared" si="116"/>
        <v>-89.985890587813884</v>
      </c>
      <c r="DI38" s="91">
        <f t="shared" si="96"/>
        <v>-18.340557908950114</v>
      </c>
      <c r="DJ38" s="257">
        <f t="shared" si="97"/>
        <v>157.99461993045347</v>
      </c>
      <c r="DK38" s="92">
        <f t="shared" si="98"/>
        <v>-17.256548855994915</v>
      </c>
      <c r="DL38" s="93">
        <f t="shared" si="99"/>
        <v>158.19666786932422</v>
      </c>
      <c r="DM38" s="260">
        <f t="shared" si="100"/>
        <v>-11.036162578371066</v>
      </c>
      <c r="DN38" s="270">
        <f t="shared" si="101"/>
        <v>45.088859504876119</v>
      </c>
      <c r="DO38" s="260">
        <f t="shared" si="102"/>
        <v>-9.5497612391031002</v>
      </c>
      <c r="DP38" s="267">
        <f t="shared" si="103"/>
        <v>52.594481985910292</v>
      </c>
      <c r="DQ38" s="257">
        <f t="shared" si="104"/>
        <v>-6.49384397394887</v>
      </c>
      <c r="DR38" s="267">
        <f t="shared" si="105"/>
        <v>68.008729342639583</v>
      </c>
      <c r="DS38" s="260">
        <f t="shared" si="106"/>
        <v>-9.9521535254158664</v>
      </c>
      <c r="DT38" s="269">
        <f t="shared" si="107"/>
        <v>45.290907443746832</v>
      </c>
      <c r="DU38" s="260">
        <f t="shared" si="108"/>
        <v>-8.4657521861479008</v>
      </c>
      <c r="DV38" s="93">
        <f t="shared" si="109"/>
        <v>52.796529924781041</v>
      </c>
      <c r="DW38" s="257">
        <f t="shared" si="110"/>
        <v>-5.4098349209936707</v>
      </c>
      <c r="DX38" s="93">
        <f t="shared" si="111"/>
        <v>68.210777281510332</v>
      </c>
    </row>
    <row r="39" spans="1:128" ht="15.75" thickBot="1" x14ac:dyDescent="0.3">
      <c r="A39" s="12" t="s">
        <v>419</v>
      </c>
      <c r="B39" s="8">
        <f>VLOOKUP(ILrms_Total_Max_FB_CCM,V4:AL54,16,FALSE)</f>
        <v>0.14450264333448459</v>
      </c>
      <c r="C39" s="12" t="s">
        <v>6</v>
      </c>
      <c r="D39" s="115"/>
      <c r="E39" s="115"/>
      <c r="F39" s="115"/>
      <c r="G39" s="115"/>
      <c r="H39" s="115"/>
      <c r="I39" s="115"/>
      <c r="J39" s="115"/>
      <c r="L39" s="58">
        <v>35</v>
      </c>
      <c r="M39" s="62">
        <f t="shared" si="117"/>
        <v>36.299999999999997</v>
      </c>
      <c r="N39" s="42">
        <f t="shared" si="118"/>
        <v>1.4443353784275689E-4</v>
      </c>
      <c r="O39" s="19">
        <f t="shared" si="119"/>
        <v>1.2999018405848121E-4</v>
      </c>
      <c r="P39" s="43">
        <f t="shared" si="120"/>
        <v>1.1817289459861927E-4</v>
      </c>
      <c r="Q39" s="60">
        <f t="shared" si="121"/>
        <v>0.19864546282518825</v>
      </c>
      <c r="R39" s="63">
        <f t="shared" si="122"/>
        <v>0.18365472910927455</v>
      </c>
      <c r="S39" s="28">
        <f t="shared" si="123"/>
        <v>0.92453523225392875</v>
      </c>
      <c r="T39" s="12">
        <f t="shared" si="124"/>
        <v>0.29674198767713306</v>
      </c>
      <c r="U39" s="12">
        <f t="shared" si="60"/>
        <v>1.0729062260924953</v>
      </c>
      <c r="V39" s="55">
        <f t="shared" si="125"/>
        <v>1.2384388716968877</v>
      </c>
      <c r="W39" s="54">
        <f t="shared" si="61"/>
        <v>0.41382716784553131</v>
      </c>
      <c r="X39" s="55">
        <f t="shared" si="62"/>
        <v>0.37084210295333581</v>
      </c>
      <c r="Y39" s="54">
        <f t="shared" si="126"/>
        <v>0.57188920116240627</v>
      </c>
      <c r="Z39" s="55">
        <f t="shared" si="63"/>
        <v>0.27759189182354582</v>
      </c>
      <c r="AA39" s="54">
        <f t="shared" si="127"/>
        <v>0.57188920116240627</v>
      </c>
      <c r="AB39" s="55">
        <f t="shared" si="64"/>
        <v>0.27759189182354582</v>
      </c>
      <c r="AC39" s="54">
        <f t="shared" si="128"/>
        <v>0</v>
      </c>
      <c r="AD39" s="55">
        <f t="shared" si="65"/>
        <v>0</v>
      </c>
      <c r="AE39" s="54">
        <f t="shared" si="129"/>
        <v>0</v>
      </c>
      <c r="AF39" s="55">
        <f t="shared" si="66"/>
        <v>0</v>
      </c>
      <c r="AG39" s="54">
        <f t="shared" si="130"/>
        <v>0</v>
      </c>
      <c r="AH39" s="55">
        <f t="shared" si="67"/>
        <v>0</v>
      </c>
      <c r="AI39" s="54">
        <f t="shared" si="131"/>
        <v>0</v>
      </c>
      <c r="AJ39" s="177">
        <f t="shared" si="69"/>
        <v>0</v>
      </c>
      <c r="AK39" s="54">
        <f t="shared" si="132"/>
        <v>0.12693542883266756</v>
      </c>
      <c r="AL39" s="55">
        <f t="shared" si="133"/>
        <v>7.8183138162478558E-2</v>
      </c>
      <c r="AM39" s="179">
        <f t="shared" si="134"/>
        <v>2.5996215662824763E-2</v>
      </c>
      <c r="AN39" s="52">
        <f t="shared" si="135"/>
        <v>0</v>
      </c>
      <c r="AO39" s="74">
        <f t="shared" si="136"/>
        <v>0</v>
      </c>
      <c r="AP39" s="78">
        <v>0</v>
      </c>
      <c r="AQ39" s="87">
        <f t="shared" si="137"/>
        <v>0</v>
      </c>
      <c r="AR39" s="46">
        <f t="shared" si="138"/>
        <v>13.426398125210602</v>
      </c>
      <c r="AS39" s="69">
        <f t="shared" si="139"/>
        <v>1.006979859390795E-2</v>
      </c>
      <c r="AT39" s="42">
        <f t="shared" si="140"/>
        <v>16.682358270362599</v>
      </c>
      <c r="AU39" s="79">
        <f t="shared" si="141"/>
        <v>1.251176870277195E-2</v>
      </c>
      <c r="AV39" s="83">
        <f t="shared" si="71"/>
        <v>3.6279001362537087E-3</v>
      </c>
      <c r="AW39" s="84">
        <f t="shared" si="72"/>
        <v>1.4792077122249142E-2</v>
      </c>
      <c r="AX39" s="42">
        <f t="shared" si="142"/>
        <v>4.1058732612055629E-2</v>
      </c>
      <c r="AY39" s="43">
        <f t="shared" si="73"/>
        <v>1.2655493474868888E-2</v>
      </c>
      <c r="AZ39" s="85">
        <f t="shared" si="143"/>
        <v>4.1058732612055629E-2</v>
      </c>
      <c r="BA39" s="86">
        <f t="shared" si="74"/>
        <v>1.2655493474868888E-2</v>
      </c>
      <c r="BB39" s="85">
        <f t="shared" si="144"/>
        <v>0</v>
      </c>
      <c r="BC39" s="86">
        <f t="shared" si="75"/>
        <v>0</v>
      </c>
      <c r="BD39" s="85">
        <f t="shared" si="145"/>
        <v>0</v>
      </c>
      <c r="BE39" s="86">
        <f t="shared" si="76"/>
        <v>0</v>
      </c>
      <c r="BF39" s="85">
        <f t="shared" si="146"/>
        <v>0</v>
      </c>
      <c r="BG39" s="86">
        <f t="shared" si="77"/>
        <v>0</v>
      </c>
      <c r="BH39" s="85">
        <f t="shared" si="147"/>
        <v>0</v>
      </c>
      <c r="BI39" s="86">
        <f t="shared" si="78"/>
        <v>0</v>
      </c>
      <c r="BJ39" s="85">
        <f t="shared" si="148"/>
        <v>3.1673879443585777E-3</v>
      </c>
      <c r="BK39" s="207">
        <f t="shared" si="149"/>
        <v>1.9360985345205604E-3</v>
      </c>
      <c r="BL39" s="85">
        <f t="shared" si="79"/>
        <v>0.13095191591123104</v>
      </c>
      <c r="BM39" s="176">
        <f t="shared" si="80"/>
        <v>0.13095191591123104</v>
      </c>
      <c r="BN39" s="176">
        <f t="shared" si="81"/>
        <v>0.13095191591123104</v>
      </c>
      <c r="BO39" s="176">
        <f t="shared" si="82"/>
        <v>0.14102171450513898</v>
      </c>
      <c r="BP39" s="86">
        <f t="shared" si="83"/>
        <v>0.143463684614003</v>
      </c>
      <c r="BQ39" s="211">
        <f t="shared" si="84"/>
        <v>2.3610341666940714E-3</v>
      </c>
      <c r="BR39" s="237">
        <f t="shared" si="150"/>
        <v>2.5000000000000001E-3</v>
      </c>
      <c r="BS39" s="237">
        <f t="shared" si="151"/>
        <v>2.5000000000000001E-3</v>
      </c>
      <c r="BT39" s="237">
        <f t="shared" si="152"/>
        <v>0</v>
      </c>
      <c r="BU39" s="237">
        <f t="shared" si="153"/>
        <v>0</v>
      </c>
      <c r="BV39" s="237">
        <f t="shared" si="154"/>
        <v>0</v>
      </c>
      <c r="BW39" s="237">
        <f t="shared" si="155"/>
        <v>0</v>
      </c>
      <c r="BX39" s="212">
        <f t="shared" si="156"/>
        <v>1.0000000000000002E-4</v>
      </c>
      <c r="BY39" s="238">
        <f t="shared" si="85"/>
        <v>7.4610341666940727E-3</v>
      </c>
      <c r="BZ39" s="244">
        <f t="shared" si="86"/>
        <v>1.6864529762100508E-4</v>
      </c>
      <c r="CA39" s="243">
        <f t="shared" si="157"/>
        <v>0.15102283018867926</v>
      </c>
      <c r="CB39" s="243">
        <f t="shared" si="158"/>
        <v>0.23099999999999998</v>
      </c>
      <c r="CC39" s="238">
        <f t="shared" si="87"/>
        <v>0.38219147548630028</v>
      </c>
      <c r="CD39" s="244">
        <f t="shared" si="159"/>
        <v>0.15</v>
      </c>
      <c r="CE39" s="243">
        <f t="shared" si="160"/>
        <v>3.0000000000000002E-2</v>
      </c>
      <c r="CF39" s="243">
        <f t="shared" si="42"/>
        <v>0.15</v>
      </c>
      <c r="CG39" s="243">
        <f t="shared" si="161"/>
        <v>3.0000000000000002E-2</v>
      </c>
      <c r="CH39" s="243">
        <f t="shared" si="44"/>
        <v>0</v>
      </c>
      <c r="CI39" s="243">
        <f t="shared" si="162"/>
        <v>0</v>
      </c>
      <c r="CJ39" s="243">
        <f t="shared" si="46"/>
        <v>0</v>
      </c>
      <c r="CK39" s="243">
        <f t="shared" si="163"/>
        <v>0</v>
      </c>
      <c r="CL39" s="243">
        <f t="shared" si="48"/>
        <v>0</v>
      </c>
      <c r="CM39" s="243">
        <f t="shared" si="164"/>
        <v>0</v>
      </c>
      <c r="CN39" s="243">
        <f t="shared" si="50"/>
        <v>0</v>
      </c>
      <c r="CO39" s="243">
        <f t="shared" si="165"/>
        <v>0</v>
      </c>
      <c r="CP39" s="243">
        <f t="shared" si="52"/>
        <v>0.03</v>
      </c>
      <c r="CQ39" s="243">
        <f t="shared" si="166"/>
        <v>6.0000000000000005E-2</v>
      </c>
      <c r="CR39" s="238">
        <f t="shared" si="167"/>
        <v>0.39</v>
      </c>
      <c r="CS39" s="246">
        <f t="shared" si="168"/>
        <v>0.15236436679523988</v>
      </c>
      <c r="CT39" s="188">
        <f t="shared" si="88"/>
        <v>0.93201687644823428</v>
      </c>
      <c r="CU39" s="206">
        <f t="shared" si="169"/>
        <v>6.9320168764482339</v>
      </c>
      <c r="CV39" s="227">
        <f t="shared" si="170"/>
        <v>0.86554896027232808</v>
      </c>
      <c r="CW39">
        <f t="shared" si="171"/>
        <v>44.788964346349744</v>
      </c>
      <c r="CX39">
        <f t="shared" si="172"/>
        <v>92.770789446861301</v>
      </c>
      <c r="DA39" s="22">
        <v>9000</v>
      </c>
      <c r="DB39" s="22">
        <f t="shared" si="89"/>
        <v>56548.667764616279</v>
      </c>
      <c r="DC39" s="260">
        <f t="shared" si="90"/>
        <v>6.299831783205474</v>
      </c>
      <c r="DD39" s="93">
        <f t="shared" si="112"/>
        <v>-117.52634596594106</v>
      </c>
      <c r="DE39" s="260">
        <f t="shared" si="113"/>
        <v>7.7618174778728832</v>
      </c>
      <c r="DF39" s="93">
        <f t="shared" si="114"/>
        <v>-109.20653031921691</v>
      </c>
      <c r="DG39" s="257">
        <f t="shared" si="115"/>
        <v>10.827876334328611</v>
      </c>
      <c r="DH39" s="93">
        <f t="shared" si="116"/>
        <v>-91.525979940087637</v>
      </c>
      <c r="DI39" s="91">
        <f t="shared" si="96"/>
        <v>-18.457911310082839</v>
      </c>
      <c r="DJ39" s="257">
        <f t="shared" si="97"/>
        <v>156.27015466350346</v>
      </c>
      <c r="DK39" s="92">
        <f t="shared" si="98"/>
        <v>-17.372746545701776</v>
      </c>
      <c r="DL39" s="93">
        <f t="shared" si="99"/>
        <v>156.46595416094186</v>
      </c>
      <c r="DM39" s="260">
        <f t="shared" si="100"/>
        <v>-12.158079526877366</v>
      </c>
      <c r="DN39" s="270">
        <f t="shared" si="101"/>
        <v>38.743808697562329</v>
      </c>
      <c r="DO39" s="260">
        <f t="shared" si="102"/>
        <v>-10.696093832209955</v>
      </c>
      <c r="DP39" s="267">
        <f t="shared" si="103"/>
        <v>47.063624344286552</v>
      </c>
      <c r="DQ39" s="257">
        <f t="shared" si="104"/>
        <v>-7.6300349757542278</v>
      </c>
      <c r="DR39" s="267">
        <f t="shared" si="105"/>
        <v>64.744174723415824</v>
      </c>
      <c r="DS39" s="260">
        <f t="shared" si="106"/>
        <v>-11.072914762496303</v>
      </c>
      <c r="DT39" s="269">
        <f t="shared" si="107"/>
        <v>38.939608195000794</v>
      </c>
      <c r="DU39" s="260">
        <f t="shared" si="108"/>
        <v>-9.6109290678288932</v>
      </c>
      <c r="DV39" s="93">
        <f t="shared" si="109"/>
        <v>47.259423841724953</v>
      </c>
      <c r="DW39" s="257">
        <f t="shared" si="110"/>
        <v>-6.5448702113731656</v>
      </c>
      <c r="DX39" s="93">
        <f t="shared" si="111"/>
        <v>64.939974220854225</v>
      </c>
    </row>
    <row r="40" spans="1:128" ht="15.75" thickBot="1" x14ac:dyDescent="0.3">
      <c r="A40" s="201" t="s">
        <v>394</v>
      </c>
      <c r="B40" s="201"/>
      <c r="C40" s="12"/>
      <c r="D40" s="115"/>
      <c r="E40" s="115"/>
      <c r="F40" s="115"/>
      <c r="G40" s="115"/>
      <c r="H40" s="115"/>
      <c r="I40" s="115"/>
      <c r="J40" s="115"/>
      <c r="L40" s="58">
        <v>36</v>
      </c>
      <c r="M40" s="62">
        <f t="shared" si="117"/>
        <v>37.08</v>
      </c>
      <c r="N40" s="42">
        <f t="shared" si="118"/>
        <v>1.4564821358573957E-4</v>
      </c>
      <c r="O40" s="19">
        <f t="shared" si="119"/>
        <v>1.3108339222716561E-4</v>
      </c>
      <c r="P40" s="43">
        <f t="shared" si="120"/>
        <v>1.1916672020651418E-4</v>
      </c>
      <c r="Q40" s="60">
        <f t="shared" si="121"/>
        <v>0.195282850628516</v>
      </c>
      <c r="R40" s="63">
        <f t="shared" si="122"/>
        <v>0.17979144192736426</v>
      </c>
      <c r="S40" s="28">
        <f t="shared" si="123"/>
        <v>0.92067194507201844</v>
      </c>
      <c r="T40" s="12">
        <f t="shared" si="124"/>
        <v>0.29798716466277259</v>
      </c>
      <c r="U40" s="12">
        <f t="shared" si="60"/>
        <v>1.0696655274034048</v>
      </c>
      <c r="V40" s="55">
        <f t="shared" si="125"/>
        <v>1.2320599191528787</v>
      </c>
      <c r="W40" s="54">
        <f t="shared" si="61"/>
        <v>0.4086244856192906</v>
      </c>
      <c r="X40" s="55">
        <f t="shared" si="62"/>
        <v>0.36694551047438778</v>
      </c>
      <c r="Y40" s="54">
        <f t="shared" si="126"/>
        <v>0.57091535818404426</v>
      </c>
      <c r="Z40" s="55">
        <f t="shared" si="63"/>
        <v>0.27558001779957769</v>
      </c>
      <c r="AA40" s="54">
        <f t="shared" si="127"/>
        <v>0.57091535818404426</v>
      </c>
      <c r="AB40" s="55">
        <f t="shared" si="64"/>
        <v>0.27558001779957769</v>
      </c>
      <c r="AC40" s="54">
        <f t="shared" si="128"/>
        <v>0</v>
      </c>
      <c r="AD40" s="55">
        <f t="shared" si="65"/>
        <v>0</v>
      </c>
      <c r="AE40" s="54">
        <f t="shared" si="129"/>
        <v>0</v>
      </c>
      <c r="AF40" s="55">
        <f t="shared" si="66"/>
        <v>0</v>
      </c>
      <c r="AG40" s="54">
        <f t="shared" si="130"/>
        <v>0</v>
      </c>
      <c r="AH40" s="55">
        <f t="shared" si="67"/>
        <v>0</v>
      </c>
      <c r="AI40" s="54">
        <f t="shared" si="131"/>
        <v>0</v>
      </c>
      <c r="AJ40" s="177">
        <f t="shared" si="69"/>
        <v>0</v>
      </c>
      <c r="AK40" s="54">
        <f t="shared" si="132"/>
        <v>0.12691096853892694</v>
      </c>
      <c r="AL40" s="55">
        <f t="shared" si="133"/>
        <v>7.8143419015861498E-2</v>
      </c>
      <c r="AM40" s="179">
        <f t="shared" si="134"/>
        <v>2.6105299954233805E-2</v>
      </c>
      <c r="AN40" s="52">
        <f t="shared" si="135"/>
        <v>0</v>
      </c>
      <c r="AO40" s="74">
        <f t="shared" si="136"/>
        <v>0</v>
      </c>
      <c r="AP40" s="78">
        <v>0</v>
      </c>
      <c r="AQ40" s="87">
        <f t="shared" si="137"/>
        <v>0</v>
      </c>
      <c r="AR40" s="46">
        <f t="shared" si="138"/>
        <v>13.576783142776323</v>
      </c>
      <c r="AS40" s="69">
        <f t="shared" si="139"/>
        <v>1.0182587357082242E-2</v>
      </c>
      <c r="AT40" s="42">
        <f t="shared" si="140"/>
        <v>16.855090660995582</v>
      </c>
      <c r="AU40" s="79">
        <f t="shared" si="141"/>
        <v>1.2641317995746686E-2</v>
      </c>
      <c r="AV40" s="83">
        <f t="shared" si="71"/>
        <v>3.4768753662306221E-3</v>
      </c>
      <c r="AW40" s="84">
        <f t="shared" si="72"/>
        <v>1.4482857219184492E-2</v>
      </c>
      <c r="AX40" s="42">
        <f t="shared" si="142"/>
        <v>4.1058732612055629E-2</v>
      </c>
      <c r="AY40" s="43">
        <f t="shared" si="73"/>
        <v>1.2472714417803329E-2</v>
      </c>
      <c r="AZ40" s="85">
        <f t="shared" si="143"/>
        <v>4.1058732612055629E-2</v>
      </c>
      <c r="BA40" s="86">
        <f t="shared" si="74"/>
        <v>1.2472714417803329E-2</v>
      </c>
      <c r="BB40" s="85">
        <f t="shared" si="144"/>
        <v>0</v>
      </c>
      <c r="BC40" s="86">
        <f t="shared" si="75"/>
        <v>0</v>
      </c>
      <c r="BD40" s="85">
        <f t="shared" si="145"/>
        <v>0</v>
      </c>
      <c r="BE40" s="86">
        <f t="shared" si="76"/>
        <v>0</v>
      </c>
      <c r="BF40" s="85">
        <f t="shared" si="146"/>
        <v>0</v>
      </c>
      <c r="BG40" s="86">
        <f t="shared" si="77"/>
        <v>0</v>
      </c>
      <c r="BH40" s="85">
        <f t="shared" si="147"/>
        <v>0</v>
      </c>
      <c r="BI40" s="86">
        <f t="shared" si="78"/>
        <v>0</v>
      </c>
      <c r="BJ40" s="85">
        <f t="shared" si="148"/>
        <v>3.1673879443585777E-3</v>
      </c>
      <c r="BK40" s="207">
        <f t="shared" si="149"/>
        <v>1.9341318534770616E-3</v>
      </c>
      <c r="BL40" s="85">
        <f t="shared" si="79"/>
        <v>0.13012414644296869</v>
      </c>
      <c r="BM40" s="176">
        <f t="shared" si="80"/>
        <v>0.13012414644296869</v>
      </c>
      <c r="BN40" s="176">
        <f t="shared" si="81"/>
        <v>0.13012414644296869</v>
      </c>
      <c r="BO40" s="176">
        <f t="shared" si="82"/>
        <v>0.14030673380005093</v>
      </c>
      <c r="BP40" s="86">
        <f t="shared" si="83"/>
        <v>0.14276546443871538</v>
      </c>
      <c r="BQ40" s="211">
        <f t="shared" si="84"/>
        <v>2.2627473813224561E-3</v>
      </c>
      <c r="BR40" s="237">
        <f t="shared" si="150"/>
        <v>2.5000000000000001E-3</v>
      </c>
      <c r="BS40" s="237">
        <f t="shared" si="151"/>
        <v>2.5000000000000001E-3</v>
      </c>
      <c r="BT40" s="237">
        <f t="shared" si="152"/>
        <v>0</v>
      </c>
      <c r="BU40" s="237">
        <f t="shared" si="153"/>
        <v>0</v>
      </c>
      <c r="BV40" s="237">
        <f t="shared" si="154"/>
        <v>0</v>
      </c>
      <c r="BW40" s="237">
        <f t="shared" si="155"/>
        <v>0</v>
      </c>
      <c r="BX40" s="212">
        <f t="shared" si="156"/>
        <v>1.0000000000000002E-4</v>
      </c>
      <c r="BY40" s="238">
        <f t="shared" si="85"/>
        <v>7.3627473813224565E-3</v>
      </c>
      <c r="BZ40" s="244">
        <f t="shared" si="86"/>
        <v>1.6162481295160398E-4</v>
      </c>
      <c r="CA40" s="243">
        <f t="shared" si="157"/>
        <v>0.15362332075471702</v>
      </c>
      <c r="CB40" s="243">
        <f t="shared" si="158"/>
        <v>0.23099999999999998</v>
      </c>
      <c r="CC40" s="238">
        <f t="shared" si="87"/>
        <v>0.38478494556766862</v>
      </c>
      <c r="CD40" s="244">
        <f t="shared" si="159"/>
        <v>0.15</v>
      </c>
      <c r="CE40" s="243">
        <f t="shared" si="160"/>
        <v>3.0000000000000002E-2</v>
      </c>
      <c r="CF40" s="243">
        <f t="shared" si="42"/>
        <v>0.15</v>
      </c>
      <c r="CG40" s="243">
        <f t="shared" si="161"/>
        <v>3.0000000000000002E-2</v>
      </c>
      <c r="CH40" s="243">
        <f t="shared" si="44"/>
        <v>0</v>
      </c>
      <c r="CI40" s="243">
        <f t="shared" si="162"/>
        <v>0</v>
      </c>
      <c r="CJ40" s="243">
        <f t="shared" si="46"/>
        <v>0</v>
      </c>
      <c r="CK40" s="243">
        <f t="shared" si="163"/>
        <v>0</v>
      </c>
      <c r="CL40" s="243">
        <f t="shared" si="48"/>
        <v>0</v>
      </c>
      <c r="CM40" s="243">
        <f t="shared" si="164"/>
        <v>0</v>
      </c>
      <c r="CN40" s="243">
        <f t="shared" si="50"/>
        <v>0</v>
      </c>
      <c r="CO40" s="243">
        <f t="shared" si="165"/>
        <v>0</v>
      </c>
      <c r="CP40" s="243">
        <f t="shared" si="52"/>
        <v>0.03</v>
      </c>
      <c r="CQ40" s="243">
        <f t="shared" si="166"/>
        <v>6.0000000000000005E-2</v>
      </c>
      <c r="CR40" s="238">
        <f t="shared" si="167"/>
        <v>0.39</v>
      </c>
      <c r="CS40" s="246">
        <f t="shared" si="168"/>
        <v>0.15122487638114732</v>
      </c>
      <c r="CT40" s="188">
        <f t="shared" si="88"/>
        <v>0.93337256933013846</v>
      </c>
      <c r="CU40" s="206">
        <f t="shared" si="169"/>
        <v>6.9333725693301389</v>
      </c>
      <c r="CV40" s="227">
        <f t="shared" si="170"/>
        <v>0.86537971816790515</v>
      </c>
      <c r="CW40">
        <f t="shared" si="171"/>
        <v>45.568964346349745</v>
      </c>
      <c r="CX40">
        <f t="shared" si="172"/>
        <v>93.405860995593287</v>
      </c>
      <c r="DA40" s="22">
        <v>10000</v>
      </c>
      <c r="DB40" s="22">
        <f t="shared" si="89"/>
        <v>62831.853071795864</v>
      </c>
      <c r="DC40" s="260">
        <f t="shared" si="90"/>
        <v>5.3974598483697296</v>
      </c>
      <c r="DD40" s="93">
        <f t="shared" si="112"/>
        <v>-121.88787302189913</v>
      </c>
      <c r="DE40" s="260">
        <f t="shared" si="113"/>
        <v>6.8327986660958997</v>
      </c>
      <c r="DF40" s="93">
        <f t="shared" si="114"/>
        <v>-112.79272029802873</v>
      </c>
      <c r="DG40" s="257">
        <f t="shared" si="115"/>
        <v>9.9126685900416316</v>
      </c>
      <c r="DH40" s="93">
        <f t="shared" si="116"/>
        <v>-92.92108617803936</v>
      </c>
      <c r="DI40" s="91">
        <f t="shared" si="96"/>
        <v>-18.584214256970316</v>
      </c>
      <c r="DJ40" s="257">
        <f t="shared" si="97"/>
        <v>154.52390181143537</v>
      </c>
      <c r="DK40" s="92">
        <f t="shared" si="98"/>
        <v>-17.497909071902274</v>
      </c>
      <c r="DL40" s="93">
        <f t="shared" si="99"/>
        <v>154.71552698440007</v>
      </c>
      <c r="DM40" s="260">
        <f t="shared" si="100"/>
        <v>-13.186754408600587</v>
      </c>
      <c r="DN40" s="270">
        <f t="shared" si="101"/>
        <v>32.636028789536262</v>
      </c>
      <c r="DO40" s="260">
        <f t="shared" si="102"/>
        <v>-11.751415590874416</v>
      </c>
      <c r="DP40" s="267">
        <f t="shared" si="103"/>
        <v>41.731181513406639</v>
      </c>
      <c r="DQ40" s="257">
        <f t="shared" si="104"/>
        <v>-8.6715456669286848</v>
      </c>
      <c r="DR40" s="267">
        <f t="shared" si="105"/>
        <v>61.602815633396006</v>
      </c>
      <c r="DS40" s="260">
        <f t="shared" si="106"/>
        <v>-12.100449223532545</v>
      </c>
      <c r="DT40" s="269">
        <f t="shared" si="107"/>
        <v>32.827653962500911</v>
      </c>
      <c r="DU40" s="260">
        <f t="shared" si="108"/>
        <v>-10.665110405806374</v>
      </c>
      <c r="DV40" s="93">
        <f t="shared" si="109"/>
        <v>41.922806686371345</v>
      </c>
      <c r="DW40" s="257">
        <f t="shared" si="110"/>
        <v>-7.5852404818606427</v>
      </c>
      <c r="DX40" s="93">
        <f t="shared" si="111"/>
        <v>61.794440806360711</v>
      </c>
    </row>
    <row r="41" spans="1:128" ht="15.75" thickBot="1" x14ac:dyDescent="0.3">
      <c r="A41" s="12" t="s">
        <v>395</v>
      </c>
      <c r="B41" s="19">
        <f>IF(AND(Vout1&lt;&gt;0,Iout1&lt;&gt;0,Vout1_Ripple&lt;&gt;0),(Iout1*B7)/(Fsw*Vout1_Ripple*(10^-3)),0)</f>
        <v>1.6665094487941391E-5</v>
      </c>
      <c r="C41" s="12" t="s">
        <v>351</v>
      </c>
      <c r="D41" s="115"/>
      <c r="E41" s="115"/>
      <c r="F41" s="115"/>
      <c r="G41" s="115"/>
      <c r="H41" s="115"/>
      <c r="I41" s="116"/>
      <c r="J41" s="115"/>
      <c r="L41" s="58">
        <v>37</v>
      </c>
      <c r="M41" s="62">
        <f t="shared" si="117"/>
        <v>37.86</v>
      </c>
      <c r="N41" s="42">
        <f t="shared" si="118"/>
        <v>1.4682728563769197E-4</v>
      </c>
      <c r="O41" s="19">
        <f t="shared" si="119"/>
        <v>1.321445570739228E-4</v>
      </c>
      <c r="P41" s="43">
        <f t="shared" si="120"/>
        <v>1.2013141552174797E-4</v>
      </c>
      <c r="Q41" s="60">
        <f t="shared" si="121"/>
        <v>0.19203218604368044</v>
      </c>
      <c r="R41" s="63">
        <f t="shared" si="122"/>
        <v>0.17608733932030288</v>
      </c>
      <c r="S41" s="28">
        <f t="shared" si="123"/>
        <v>0.91696784246495699</v>
      </c>
      <c r="T41" s="12">
        <f t="shared" si="124"/>
        <v>0.29919088739151201</v>
      </c>
      <c r="U41" s="12">
        <f t="shared" si="60"/>
        <v>1.0665632861607131</v>
      </c>
      <c r="V41" s="55">
        <f t="shared" si="125"/>
        <v>1.2259197080867721</v>
      </c>
      <c r="W41" s="54">
        <f t="shared" si="61"/>
        <v>0.40360737197241542</v>
      </c>
      <c r="X41" s="55">
        <f t="shared" si="62"/>
        <v>0.36316960175870477</v>
      </c>
      <c r="Y41" s="54">
        <f t="shared" si="126"/>
        <v>0.56998273762117857</v>
      </c>
      <c r="Z41" s="55">
        <f t="shared" si="63"/>
        <v>0.27364268889581778</v>
      </c>
      <c r="AA41" s="54">
        <f t="shared" si="127"/>
        <v>0.56998273762117857</v>
      </c>
      <c r="AB41" s="55">
        <f t="shared" si="64"/>
        <v>0.27364268889581778</v>
      </c>
      <c r="AC41" s="54">
        <f t="shared" si="128"/>
        <v>0</v>
      </c>
      <c r="AD41" s="55">
        <f t="shared" si="65"/>
        <v>0</v>
      </c>
      <c r="AE41" s="54">
        <f t="shared" si="129"/>
        <v>0</v>
      </c>
      <c r="AF41" s="55">
        <f t="shared" si="66"/>
        <v>0</v>
      </c>
      <c r="AG41" s="54">
        <f t="shared" si="130"/>
        <v>0</v>
      </c>
      <c r="AH41" s="55">
        <f t="shared" si="67"/>
        <v>0</v>
      </c>
      <c r="AI41" s="54">
        <f t="shared" si="131"/>
        <v>0</v>
      </c>
      <c r="AJ41" s="177">
        <f t="shared" si="69"/>
        <v>0</v>
      </c>
      <c r="AK41" s="54">
        <f t="shared" si="132"/>
        <v>0.12689038788612977</v>
      </c>
      <c r="AL41" s="55">
        <f t="shared" si="133"/>
        <v>7.8109990000591253E-2</v>
      </c>
      <c r="AM41" s="179">
        <f t="shared" si="134"/>
        <v>2.6210752626771004E-2</v>
      </c>
      <c r="AN41" s="52">
        <f t="shared" si="135"/>
        <v>0</v>
      </c>
      <c r="AO41" s="74">
        <f t="shared" si="136"/>
        <v>0</v>
      </c>
      <c r="AP41" s="78">
        <v>0</v>
      </c>
      <c r="AQ41" s="87">
        <f t="shared" si="137"/>
        <v>0</v>
      </c>
      <c r="AR41" s="46">
        <f t="shared" si="138"/>
        <v>13.723156614936595</v>
      </c>
      <c r="AS41" s="69">
        <f t="shared" si="139"/>
        <v>1.0292367461202446E-2</v>
      </c>
      <c r="AT41" s="42">
        <f t="shared" si="140"/>
        <v>17.023077274666555</v>
      </c>
      <c r="AU41" s="79">
        <f t="shared" si="141"/>
        <v>1.2767307955999917E-2</v>
      </c>
      <c r="AV41" s="83">
        <f t="shared" si="71"/>
        <v>3.3350884375221686E-3</v>
      </c>
      <c r="AW41" s="84">
        <f t="shared" si="72"/>
        <v>1.4186330442778776E-2</v>
      </c>
      <c r="AX41" s="42">
        <f t="shared" si="142"/>
        <v>4.1058732612055629E-2</v>
      </c>
      <c r="AY41" s="43">
        <f t="shared" si="73"/>
        <v>1.2297964341945168E-2</v>
      </c>
      <c r="AZ41" s="85">
        <f t="shared" si="143"/>
        <v>4.1058732612055629E-2</v>
      </c>
      <c r="BA41" s="86">
        <f t="shared" si="74"/>
        <v>1.2297964341945168E-2</v>
      </c>
      <c r="BB41" s="85">
        <f t="shared" si="144"/>
        <v>0</v>
      </c>
      <c r="BC41" s="86">
        <f t="shared" si="75"/>
        <v>0</v>
      </c>
      <c r="BD41" s="85">
        <f t="shared" si="145"/>
        <v>0</v>
      </c>
      <c r="BE41" s="86">
        <f t="shared" si="76"/>
        <v>0</v>
      </c>
      <c r="BF41" s="85">
        <f t="shared" si="146"/>
        <v>0</v>
      </c>
      <c r="BG41" s="86">
        <f t="shared" si="77"/>
        <v>0</v>
      </c>
      <c r="BH41" s="85">
        <f t="shared" si="147"/>
        <v>0</v>
      </c>
      <c r="BI41" s="86">
        <f t="shared" si="78"/>
        <v>0</v>
      </c>
      <c r="BJ41" s="85">
        <f t="shared" si="148"/>
        <v>3.1673879443585777E-3</v>
      </c>
      <c r="BK41" s="207">
        <f t="shared" si="149"/>
        <v>1.9324774008196331E-3</v>
      </c>
      <c r="BL41" s="85">
        <f t="shared" si="79"/>
        <v>0.12933467813348076</v>
      </c>
      <c r="BM41" s="176">
        <f t="shared" si="80"/>
        <v>0.12933467813348076</v>
      </c>
      <c r="BN41" s="176">
        <f t="shared" si="81"/>
        <v>0.12933467813348076</v>
      </c>
      <c r="BO41" s="176">
        <f t="shared" si="82"/>
        <v>0.1396270455946832</v>
      </c>
      <c r="BP41" s="86">
        <f t="shared" si="83"/>
        <v>0.14210198608948069</v>
      </c>
      <c r="BQ41" s="211">
        <f t="shared" si="84"/>
        <v>2.1704725748232438E-3</v>
      </c>
      <c r="BR41" s="237">
        <f t="shared" si="150"/>
        <v>2.5000000000000001E-3</v>
      </c>
      <c r="BS41" s="237">
        <f t="shared" si="151"/>
        <v>2.5000000000000001E-3</v>
      </c>
      <c r="BT41" s="237">
        <f t="shared" si="152"/>
        <v>0</v>
      </c>
      <c r="BU41" s="237">
        <f t="shared" si="153"/>
        <v>0</v>
      </c>
      <c r="BV41" s="237">
        <f t="shared" si="154"/>
        <v>0</v>
      </c>
      <c r="BW41" s="237">
        <f t="shared" si="155"/>
        <v>0</v>
      </c>
      <c r="BX41" s="212">
        <f t="shared" si="156"/>
        <v>1.0000000000000002E-4</v>
      </c>
      <c r="BY41" s="238">
        <f t="shared" si="85"/>
        <v>7.2704725748232437E-3</v>
      </c>
      <c r="BZ41" s="244">
        <f t="shared" si="86"/>
        <v>1.5503375534451741E-4</v>
      </c>
      <c r="CA41" s="243">
        <f t="shared" si="157"/>
        <v>0.15622381132075477</v>
      </c>
      <c r="CB41" s="243">
        <f t="shared" si="158"/>
        <v>0.23099999999999998</v>
      </c>
      <c r="CC41" s="238">
        <f t="shared" si="87"/>
        <v>0.38737884507609927</v>
      </c>
      <c r="CD41" s="244">
        <f t="shared" si="159"/>
        <v>0.15</v>
      </c>
      <c r="CE41" s="243">
        <f t="shared" si="160"/>
        <v>3.0000000000000002E-2</v>
      </c>
      <c r="CF41" s="243">
        <f t="shared" si="42"/>
        <v>0.15</v>
      </c>
      <c r="CG41" s="243">
        <f t="shared" si="161"/>
        <v>3.0000000000000002E-2</v>
      </c>
      <c r="CH41" s="243">
        <f t="shared" si="44"/>
        <v>0</v>
      </c>
      <c r="CI41" s="243">
        <f t="shared" si="162"/>
        <v>0</v>
      </c>
      <c r="CJ41" s="243">
        <f t="shared" si="46"/>
        <v>0</v>
      </c>
      <c r="CK41" s="243">
        <f t="shared" si="163"/>
        <v>0</v>
      </c>
      <c r="CL41" s="243">
        <f t="shared" si="48"/>
        <v>0</v>
      </c>
      <c r="CM41" s="243">
        <f t="shared" si="164"/>
        <v>0</v>
      </c>
      <c r="CN41" s="243">
        <f t="shared" si="50"/>
        <v>0</v>
      </c>
      <c r="CO41" s="243">
        <f t="shared" si="165"/>
        <v>0</v>
      </c>
      <c r="CP41" s="243">
        <f t="shared" si="52"/>
        <v>0.03</v>
      </c>
      <c r="CQ41" s="243">
        <f t="shared" si="166"/>
        <v>6.0000000000000005E-2</v>
      </c>
      <c r="CR41" s="238">
        <f t="shared" si="167"/>
        <v>0.39</v>
      </c>
      <c r="CS41" s="246">
        <f t="shared" si="168"/>
        <v>0.15012496875367723</v>
      </c>
      <c r="CT41" s="188">
        <f t="shared" si="88"/>
        <v>0.9347742864045997</v>
      </c>
      <c r="CU41" s="206">
        <f t="shared" si="169"/>
        <v>6.9347742864045996</v>
      </c>
      <c r="CV41" s="227">
        <f t="shared" si="170"/>
        <v>0.86520480007010547</v>
      </c>
      <c r="CW41">
        <f t="shared" si="171"/>
        <v>46.348964346349746</v>
      </c>
      <c r="CX41">
        <f t="shared" si="172"/>
        <v>94.047124549568039</v>
      </c>
      <c r="DA41" s="22">
        <v>20000</v>
      </c>
      <c r="DB41" s="22">
        <f t="shared" si="89"/>
        <v>125663.70614359173</v>
      </c>
      <c r="DC41" s="260">
        <f t="shared" si="90"/>
        <v>-0.59446855944691335</v>
      </c>
      <c r="DD41" s="93">
        <f t="shared" si="112"/>
        <v>-156.56129518792804</v>
      </c>
      <c r="DE41" s="260">
        <f t="shared" si="113"/>
        <v>0.49341080458826436</v>
      </c>
      <c r="DF41" s="93">
        <f t="shared" si="114"/>
        <v>-142.0349380667455</v>
      </c>
      <c r="DG41" s="257">
        <f t="shared" si="115"/>
        <v>3.7862734010779464</v>
      </c>
      <c r="DH41" s="93">
        <f t="shared" si="116"/>
        <v>-103.57790513913524</v>
      </c>
      <c r="DI41" s="91">
        <f t="shared" si="96"/>
        <v>-20.186866637834878</v>
      </c>
      <c r="DJ41" s="257">
        <f t="shared" si="97"/>
        <v>138.76937439384659</v>
      </c>
      <c r="DK41" s="92">
        <f t="shared" si="98"/>
        <v>-19.089711855549105</v>
      </c>
      <c r="DL41" s="93">
        <f t="shared" si="99"/>
        <v>138.94696628375439</v>
      </c>
      <c r="DM41" s="260">
        <f t="shared" si="100"/>
        <v>-20.781335197281791</v>
      </c>
      <c r="DN41" s="270">
        <f t="shared" si="101"/>
        <v>-17.791920794081367</v>
      </c>
      <c r="DO41" s="260">
        <f t="shared" si="102"/>
        <v>-19.693455833246613</v>
      </c>
      <c r="DP41" s="267">
        <f t="shared" si="103"/>
        <v>-3.2655636728989066</v>
      </c>
      <c r="DQ41" s="257">
        <f t="shared" si="104"/>
        <v>-16.400593236756933</v>
      </c>
      <c r="DR41" s="267">
        <f t="shared" si="105"/>
        <v>35.19146925471135</v>
      </c>
      <c r="DS41" s="260">
        <f t="shared" si="106"/>
        <v>-19.684180414996018</v>
      </c>
      <c r="DT41" s="269">
        <f t="shared" si="107"/>
        <v>-17.614328904173597</v>
      </c>
      <c r="DU41" s="260">
        <f t="shared" si="108"/>
        <v>-18.59630105096084</v>
      </c>
      <c r="DV41" s="93">
        <f t="shared" si="109"/>
        <v>-3.0879717829911044</v>
      </c>
      <c r="DW41" s="257">
        <f t="shared" si="110"/>
        <v>-15.303438454471159</v>
      </c>
      <c r="DX41" s="93">
        <f t="shared" si="111"/>
        <v>35.369061144619153</v>
      </c>
    </row>
    <row r="42" spans="1:128" ht="15.75" thickBot="1" x14ac:dyDescent="0.3">
      <c r="A42" s="12" t="s">
        <v>396</v>
      </c>
      <c r="B42" s="190">
        <f>COUT1_FlyB_CCM</f>
        <v>1.9999999999999998E-5</v>
      </c>
      <c r="C42" s="12" t="s">
        <v>351</v>
      </c>
      <c r="D42" s="115"/>
      <c r="E42" s="115"/>
      <c r="F42" s="115"/>
      <c r="G42" s="115"/>
      <c r="H42" s="115"/>
      <c r="I42" s="116"/>
      <c r="J42" s="115"/>
      <c r="L42" s="58">
        <v>38</v>
      </c>
      <c r="M42" s="62">
        <f t="shared" si="117"/>
        <v>38.64</v>
      </c>
      <c r="N42" s="42">
        <f t="shared" si="118"/>
        <v>1.4797226924365459E-4</v>
      </c>
      <c r="O42" s="19">
        <f t="shared" si="119"/>
        <v>1.3317504231928913E-4</v>
      </c>
      <c r="P42" s="43">
        <f t="shared" si="120"/>
        <v>1.2106822029026285E-4</v>
      </c>
      <c r="Q42" s="60">
        <f t="shared" si="121"/>
        <v>0.18888797018848882</v>
      </c>
      <c r="R42" s="63">
        <f t="shared" si="122"/>
        <v>0.17253278122843338</v>
      </c>
      <c r="S42" s="28">
        <f t="shared" si="123"/>
        <v>0.91341328437308733</v>
      </c>
      <c r="T42" s="12">
        <f t="shared" si="124"/>
        <v>0.30035519210218969</v>
      </c>
      <c r="U42" s="12">
        <f t="shared" si="60"/>
        <v>1.0635908804241823</v>
      </c>
      <c r="V42" s="55">
        <f t="shared" si="125"/>
        <v>1.2200043253628263</v>
      </c>
      <c r="W42" s="54">
        <f t="shared" si="61"/>
        <v>0.39876528271895179</v>
      </c>
      <c r="X42" s="55">
        <f t="shared" si="62"/>
        <v>0.35950826152330229</v>
      </c>
      <c r="Y42" s="54">
        <f t="shared" si="126"/>
        <v>0.56908883296162394</v>
      </c>
      <c r="Z42" s="55">
        <f t="shared" si="63"/>
        <v>0.27177582637464853</v>
      </c>
      <c r="AA42" s="54">
        <f t="shared" si="127"/>
        <v>0.56908883296162394</v>
      </c>
      <c r="AB42" s="55">
        <f t="shared" si="64"/>
        <v>0.27177582637464853</v>
      </c>
      <c r="AC42" s="54">
        <f t="shared" si="128"/>
        <v>0</v>
      </c>
      <c r="AD42" s="55">
        <f t="shared" si="65"/>
        <v>0</v>
      </c>
      <c r="AE42" s="54">
        <f t="shared" si="129"/>
        <v>0</v>
      </c>
      <c r="AF42" s="55">
        <f t="shared" si="66"/>
        <v>0</v>
      </c>
      <c r="AG42" s="54">
        <f t="shared" si="130"/>
        <v>0</v>
      </c>
      <c r="AH42" s="55">
        <f t="shared" si="67"/>
        <v>0</v>
      </c>
      <c r="AI42" s="54">
        <f t="shared" si="131"/>
        <v>0</v>
      </c>
      <c r="AJ42" s="177">
        <f t="shared" si="69"/>
        <v>0</v>
      </c>
      <c r="AK42" s="54">
        <f t="shared" si="132"/>
        <v>0.12687333676625878</v>
      </c>
      <c r="AL42" s="55">
        <f t="shared" si="133"/>
        <v>7.8082287250083232E-2</v>
      </c>
      <c r="AM42" s="179">
        <f t="shared" si="134"/>
        <v>2.6312752066058147E-2</v>
      </c>
      <c r="AN42" s="52">
        <f t="shared" si="135"/>
        <v>0</v>
      </c>
      <c r="AO42" s="74">
        <f t="shared" si="136"/>
        <v>0</v>
      </c>
      <c r="AP42" s="78">
        <v>0</v>
      </c>
      <c r="AQ42" s="87">
        <f t="shared" si="137"/>
        <v>0</v>
      </c>
      <c r="AR42" s="46">
        <f t="shared" si="138"/>
        <v>13.865669993680132</v>
      </c>
      <c r="AS42" s="69">
        <f t="shared" si="139"/>
        <v>1.03992524952601E-2</v>
      </c>
      <c r="AT42" s="42">
        <f t="shared" si="140"/>
        <v>17.186504422050557</v>
      </c>
      <c r="AU42" s="79">
        <f t="shared" si="141"/>
        <v>1.2889878316537918E-2</v>
      </c>
      <c r="AV42" s="83">
        <f t="shared" si="71"/>
        <v>3.2018010188945827E-3</v>
      </c>
      <c r="AW42" s="84">
        <f t="shared" si="72"/>
        <v>1.3901729763628606E-2</v>
      </c>
      <c r="AX42" s="42">
        <f t="shared" si="142"/>
        <v>4.1058732612055629E-2</v>
      </c>
      <c r="AY42" s="43">
        <f t="shared" si="73"/>
        <v>1.2130736823679241E-2</v>
      </c>
      <c r="AZ42" s="85">
        <f t="shared" si="143"/>
        <v>4.1058732612055629E-2</v>
      </c>
      <c r="BA42" s="86">
        <f t="shared" si="74"/>
        <v>1.2130736823679241E-2</v>
      </c>
      <c r="BB42" s="85">
        <f t="shared" si="144"/>
        <v>0</v>
      </c>
      <c r="BC42" s="86">
        <f t="shared" si="75"/>
        <v>0</v>
      </c>
      <c r="BD42" s="85">
        <f t="shared" si="145"/>
        <v>0</v>
      </c>
      <c r="BE42" s="86">
        <f t="shared" si="76"/>
        <v>0</v>
      </c>
      <c r="BF42" s="85">
        <f t="shared" si="146"/>
        <v>0</v>
      </c>
      <c r="BG42" s="86">
        <f t="shared" si="77"/>
        <v>0</v>
      </c>
      <c r="BH42" s="85">
        <f t="shared" si="147"/>
        <v>0</v>
      </c>
      <c r="BI42" s="86">
        <f t="shared" si="78"/>
        <v>0</v>
      </c>
      <c r="BJ42" s="85">
        <f t="shared" si="148"/>
        <v>3.1673879443585777E-3</v>
      </c>
      <c r="BK42" s="207">
        <f t="shared" si="149"/>
        <v>1.931106886091453E-3</v>
      </c>
      <c r="BL42" s="85">
        <f t="shared" si="79"/>
        <v>0.12858096448444298</v>
      </c>
      <c r="BM42" s="176">
        <f t="shared" si="80"/>
        <v>0.12858096448444298</v>
      </c>
      <c r="BN42" s="176">
        <f t="shared" si="81"/>
        <v>0.12858096448444298</v>
      </c>
      <c r="BO42" s="176">
        <f t="shared" si="82"/>
        <v>0.13898021697970309</v>
      </c>
      <c r="BP42" s="86">
        <f t="shared" si="83"/>
        <v>0.14147084280098091</v>
      </c>
      <c r="BQ42" s="211">
        <f t="shared" si="84"/>
        <v>2.0837292418892919E-3</v>
      </c>
      <c r="BR42" s="237">
        <f t="shared" si="150"/>
        <v>2.5000000000000001E-3</v>
      </c>
      <c r="BS42" s="237">
        <f t="shared" si="151"/>
        <v>2.5000000000000001E-3</v>
      </c>
      <c r="BT42" s="237">
        <f t="shared" si="152"/>
        <v>0</v>
      </c>
      <c r="BU42" s="237">
        <f t="shared" si="153"/>
        <v>0</v>
      </c>
      <c r="BV42" s="237">
        <f t="shared" si="154"/>
        <v>0</v>
      </c>
      <c r="BW42" s="237">
        <f t="shared" si="155"/>
        <v>0</v>
      </c>
      <c r="BX42" s="212">
        <f t="shared" si="156"/>
        <v>1.0000000000000002E-4</v>
      </c>
      <c r="BY42" s="238">
        <f t="shared" si="85"/>
        <v>7.1837292418892923E-3</v>
      </c>
      <c r="BZ42" s="244">
        <f t="shared" si="86"/>
        <v>1.4883780299209225E-4</v>
      </c>
      <c r="CA42" s="243">
        <f t="shared" si="157"/>
        <v>0.15882430188679245</v>
      </c>
      <c r="CB42" s="243">
        <f t="shared" si="158"/>
        <v>0.23099999999999998</v>
      </c>
      <c r="CC42" s="238">
        <f t="shared" si="87"/>
        <v>0.38997313968978453</v>
      </c>
      <c r="CD42" s="244">
        <f t="shared" si="159"/>
        <v>0.15</v>
      </c>
      <c r="CE42" s="243">
        <f t="shared" si="160"/>
        <v>3.0000000000000002E-2</v>
      </c>
      <c r="CF42" s="243">
        <f t="shared" si="42"/>
        <v>0.15</v>
      </c>
      <c r="CG42" s="243">
        <f t="shared" si="161"/>
        <v>3.0000000000000002E-2</v>
      </c>
      <c r="CH42" s="243">
        <f t="shared" si="44"/>
        <v>0</v>
      </c>
      <c r="CI42" s="243">
        <f t="shared" si="162"/>
        <v>0</v>
      </c>
      <c r="CJ42" s="243">
        <f t="shared" si="46"/>
        <v>0</v>
      </c>
      <c r="CK42" s="243">
        <f t="shared" si="163"/>
        <v>0</v>
      </c>
      <c r="CL42" s="243">
        <f t="shared" si="48"/>
        <v>0</v>
      </c>
      <c r="CM42" s="243">
        <f t="shared" si="164"/>
        <v>0</v>
      </c>
      <c r="CN42" s="243">
        <f t="shared" si="50"/>
        <v>0</v>
      </c>
      <c r="CO42" s="243">
        <f t="shared" si="165"/>
        <v>0</v>
      </c>
      <c r="CP42" s="243">
        <f t="shared" si="52"/>
        <v>0.03</v>
      </c>
      <c r="CQ42" s="243">
        <f t="shared" si="166"/>
        <v>6.0000000000000005E-2</v>
      </c>
      <c r="CR42" s="238">
        <f t="shared" si="167"/>
        <v>0.39</v>
      </c>
      <c r="CS42" s="246">
        <f t="shared" si="168"/>
        <v>0.14906162403631229</v>
      </c>
      <c r="CT42" s="188">
        <f t="shared" si="88"/>
        <v>0.9362184929679862</v>
      </c>
      <c r="CU42" s="206">
        <f t="shared" si="169"/>
        <v>6.9362184929679866</v>
      </c>
      <c r="CV42" s="227">
        <f t="shared" si="170"/>
        <v>0.86502465371915038</v>
      </c>
      <c r="CW42">
        <f t="shared" si="171"/>
        <v>47.128964346349747</v>
      </c>
      <c r="CX42">
        <f t="shared" si="172"/>
        <v>94.694194523896186</v>
      </c>
      <c r="DA42" s="22">
        <v>30000</v>
      </c>
      <c r="DB42" s="22">
        <f t="shared" si="89"/>
        <v>188495.55921538759</v>
      </c>
      <c r="DC42" s="260">
        <f t="shared" si="90"/>
        <v>-4.122565462189776</v>
      </c>
      <c r="DD42" s="93">
        <f t="shared" si="112"/>
        <v>179.80859881301316</v>
      </c>
      <c r="DE42" s="260">
        <f t="shared" si="113"/>
        <v>-3.4152154547978024</v>
      </c>
      <c r="DF42" s="93">
        <f t="shared" si="114"/>
        <v>-163.81805610973237</v>
      </c>
      <c r="DG42" s="257">
        <f t="shared" si="115"/>
        <v>5.8713100609544697E-2</v>
      </c>
      <c r="DH42" s="93">
        <f t="shared" si="116"/>
        <v>-112.19619476489117</v>
      </c>
      <c r="DI42" s="91">
        <f t="shared" si="96"/>
        <v>-21.98435622935078</v>
      </c>
      <c r="DJ42" s="257">
        <f t="shared" si="97"/>
        <v>127.7116740124636</v>
      </c>
      <c r="DK42" s="92">
        <f t="shared" si="98"/>
        <v>-20.879222461449565</v>
      </c>
      <c r="DL42" s="93">
        <f t="shared" si="99"/>
        <v>127.87174562370832</v>
      </c>
      <c r="DM42" s="260">
        <f t="shared" si="100"/>
        <v>-26.106921691540556</v>
      </c>
      <c r="DN42" s="270">
        <f t="shared" si="101"/>
        <v>-52.479727174523234</v>
      </c>
      <c r="DO42" s="260">
        <f t="shared" si="102"/>
        <v>-25.399571684148583</v>
      </c>
      <c r="DP42" s="267">
        <f t="shared" si="103"/>
        <v>-36.106382097268764</v>
      </c>
      <c r="DQ42" s="257">
        <f t="shared" si="104"/>
        <v>-21.925643128741235</v>
      </c>
      <c r="DR42" s="267">
        <f t="shared" si="105"/>
        <v>15.515479247572429</v>
      </c>
      <c r="DS42" s="260">
        <f t="shared" si="106"/>
        <v>-25.001787923639341</v>
      </c>
      <c r="DT42" s="269">
        <f t="shared" si="107"/>
        <v>-52.319655563278438</v>
      </c>
      <c r="DU42" s="260">
        <f t="shared" si="108"/>
        <v>-24.294437916247368</v>
      </c>
      <c r="DV42" s="93">
        <f t="shared" si="109"/>
        <v>-35.946310486024046</v>
      </c>
      <c r="DW42" s="257">
        <f t="shared" si="110"/>
        <v>-20.82050936084002</v>
      </c>
      <c r="DX42" s="93">
        <f t="shared" si="111"/>
        <v>15.675550858817147</v>
      </c>
    </row>
    <row r="43" spans="1:128" ht="15.75" thickBot="1" x14ac:dyDescent="0.3">
      <c r="A43" s="12" t="s">
        <v>397</v>
      </c>
      <c r="B43" s="190">
        <f>IF(AND(Vout2&lt;&gt;0,Iout2&lt;&gt;0,Vout2_Ripple&lt;&gt;0),(Iout2*B7)/(Fsw*Vout2_Ripple*(10^-3)),0)</f>
        <v>1.6665094487941391E-5</v>
      </c>
      <c r="C43" s="12" t="s">
        <v>351</v>
      </c>
      <c r="D43" s="115"/>
      <c r="E43" s="115"/>
      <c r="F43" s="115"/>
      <c r="G43" s="115"/>
      <c r="H43" s="115"/>
      <c r="I43" s="116"/>
      <c r="J43" s="115"/>
      <c r="L43" s="58">
        <v>39</v>
      </c>
      <c r="M43" s="62">
        <f t="shared" si="117"/>
        <v>39.42</v>
      </c>
      <c r="N43" s="42">
        <f t="shared" si="118"/>
        <v>1.4908459681979848E-4</v>
      </c>
      <c r="O43" s="19">
        <f t="shared" si="119"/>
        <v>1.3417613713781864E-4</v>
      </c>
      <c r="P43" s="43">
        <f t="shared" si="120"/>
        <v>1.2197830648892601E-4</v>
      </c>
      <c r="Q43" s="60">
        <f t="shared" si="121"/>
        <v>0.18584505852015437</v>
      </c>
      <c r="R43" s="63">
        <f t="shared" si="122"/>
        <v>0.16911889058007779</v>
      </c>
      <c r="S43" s="28">
        <f t="shared" si="123"/>
        <v>0.90999939372473182</v>
      </c>
      <c r="T43" s="12">
        <f t="shared" si="124"/>
        <v>0.30148198382158381</v>
      </c>
      <c r="U43" s="12">
        <f t="shared" si="60"/>
        <v>1.0607403856355238</v>
      </c>
      <c r="V43" s="55">
        <f t="shared" si="125"/>
        <v>1.2143009362278248</v>
      </c>
      <c r="W43" s="54">
        <f t="shared" si="61"/>
        <v>0.39408848094887844</v>
      </c>
      <c r="X43" s="55">
        <f t="shared" si="62"/>
        <v>0.35595580015720801</v>
      </c>
      <c r="Y43" s="54">
        <f t="shared" si="126"/>
        <v>0.56823133405995585</v>
      </c>
      <c r="Z43" s="55">
        <f t="shared" si="63"/>
        <v>0.26997564521185452</v>
      </c>
      <c r="AA43" s="54">
        <f t="shared" si="127"/>
        <v>0.56823133405995585</v>
      </c>
      <c r="AB43" s="55">
        <f t="shared" si="64"/>
        <v>0.26997564521185452</v>
      </c>
      <c r="AC43" s="54">
        <f t="shared" si="128"/>
        <v>0</v>
      </c>
      <c r="AD43" s="55">
        <f t="shared" si="65"/>
        <v>0</v>
      </c>
      <c r="AE43" s="54">
        <f t="shared" si="129"/>
        <v>0</v>
      </c>
      <c r="AF43" s="55">
        <f t="shared" si="66"/>
        <v>0</v>
      </c>
      <c r="AG43" s="54">
        <f t="shared" si="130"/>
        <v>0</v>
      </c>
      <c r="AH43" s="55">
        <f t="shared" si="67"/>
        <v>0</v>
      </c>
      <c r="AI43" s="54">
        <f t="shared" si="131"/>
        <v>0</v>
      </c>
      <c r="AJ43" s="177">
        <f t="shared" si="69"/>
        <v>0</v>
      </c>
      <c r="AK43" s="54">
        <f t="shared" si="132"/>
        <v>0.12685949853348888</v>
      </c>
      <c r="AL43" s="55">
        <f t="shared" si="133"/>
        <v>7.8059799949578831E-2</v>
      </c>
      <c r="AM43" s="179">
        <f t="shared" si="134"/>
        <v>2.6411465162825314E-2</v>
      </c>
      <c r="AN43" s="52">
        <f t="shared" si="135"/>
        <v>0</v>
      </c>
      <c r="AO43" s="74">
        <f t="shared" si="136"/>
        <v>0</v>
      </c>
      <c r="AP43" s="78">
        <v>0</v>
      </c>
      <c r="AQ43" s="87">
        <f t="shared" si="137"/>
        <v>0</v>
      </c>
      <c r="AR43" s="46">
        <f t="shared" si="138"/>
        <v>14.004467704654765</v>
      </c>
      <c r="AS43" s="69">
        <f t="shared" si="139"/>
        <v>1.0503350778491074E-2</v>
      </c>
      <c r="AT43" s="42">
        <f t="shared" si="140"/>
        <v>17.345549263290287</v>
      </c>
      <c r="AU43" s="79">
        <f t="shared" si="141"/>
        <v>1.3009161947467715E-2</v>
      </c>
      <c r="AV43" s="83">
        <f t="shared" si="71"/>
        <v>3.0763470953767157E-3</v>
      </c>
      <c r="AW43" s="84">
        <f t="shared" si="72"/>
        <v>1.3628348794119833E-2</v>
      </c>
      <c r="AX43" s="42">
        <f t="shared" si="142"/>
        <v>4.1058732612055629E-2</v>
      </c>
      <c r="AY43" s="43">
        <f t="shared" si="73"/>
        <v>1.1970566577346246E-2</v>
      </c>
      <c r="AZ43" s="85">
        <f t="shared" si="143"/>
        <v>4.1058732612055629E-2</v>
      </c>
      <c r="BA43" s="86">
        <f t="shared" si="74"/>
        <v>1.1970566577346246E-2</v>
      </c>
      <c r="BB43" s="85">
        <f t="shared" si="144"/>
        <v>0</v>
      </c>
      <c r="BC43" s="86">
        <f t="shared" si="75"/>
        <v>0</v>
      </c>
      <c r="BD43" s="85">
        <f t="shared" si="145"/>
        <v>0</v>
      </c>
      <c r="BE43" s="86">
        <f t="shared" si="76"/>
        <v>0</v>
      </c>
      <c r="BF43" s="85">
        <f t="shared" si="146"/>
        <v>0</v>
      </c>
      <c r="BG43" s="86">
        <f t="shared" si="77"/>
        <v>0</v>
      </c>
      <c r="BH43" s="85">
        <f t="shared" si="147"/>
        <v>0</v>
      </c>
      <c r="BI43" s="86">
        <f t="shared" si="78"/>
        <v>0</v>
      </c>
      <c r="BJ43" s="85">
        <f t="shared" si="148"/>
        <v>3.1673879443585777E-3</v>
      </c>
      <c r="BK43" s="207">
        <f t="shared" si="149"/>
        <v>1.9299947483906071E-3</v>
      </c>
      <c r="BL43" s="85">
        <f t="shared" si="79"/>
        <v>0.1278606769610495</v>
      </c>
      <c r="BM43" s="176">
        <f t="shared" si="80"/>
        <v>0.1278606769610495</v>
      </c>
      <c r="BN43" s="176">
        <f t="shared" si="81"/>
        <v>0.1278606769610495</v>
      </c>
      <c r="BO43" s="176">
        <f t="shared" si="82"/>
        <v>0.13836402773954057</v>
      </c>
      <c r="BP43" s="86">
        <f t="shared" si="83"/>
        <v>0.1408698389085172</v>
      </c>
      <c r="BQ43" s="211">
        <f t="shared" si="84"/>
        <v>2.002083940572543E-3</v>
      </c>
      <c r="BR43" s="237">
        <f t="shared" si="150"/>
        <v>2.5000000000000001E-3</v>
      </c>
      <c r="BS43" s="237">
        <f t="shared" si="151"/>
        <v>2.5000000000000001E-3</v>
      </c>
      <c r="BT43" s="237">
        <f t="shared" si="152"/>
        <v>0</v>
      </c>
      <c r="BU43" s="237">
        <f t="shared" si="153"/>
        <v>0</v>
      </c>
      <c r="BV43" s="237">
        <f t="shared" si="154"/>
        <v>0</v>
      </c>
      <c r="BW43" s="237">
        <f t="shared" si="155"/>
        <v>0</v>
      </c>
      <c r="BX43" s="212">
        <f t="shared" si="156"/>
        <v>1.0000000000000002E-4</v>
      </c>
      <c r="BY43" s="238">
        <f t="shared" si="85"/>
        <v>7.1020839405725429E-3</v>
      </c>
      <c r="BZ43" s="244">
        <f t="shared" si="86"/>
        <v>1.4300599575518163E-4</v>
      </c>
      <c r="CA43" s="243">
        <f t="shared" si="157"/>
        <v>0.1614247924528302</v>
      </c>
      <c r="CB43" s="243">
        <f t="shared" si="158"/>
        <v>0.23099999999999998</v>
      </c>
      <c r="CC43" s="238">
        <f t="shared" si="87"/>
        <v>0.39256779844858536</v>
      </c>
      <c r="CD43" s="244">
        <f t="shared" si="159"/>
        <v>0.15</v>
      </c>
      <c r="CE43" s="243">
        <f t="shared" si="160"/>
        <v>3.0000000000000002E-2</v>
      </c>
      <c r="CF43" s="243">
        <f t="shared" si="42"/>
        <v>0.15</v>
      </c>
      <c r="CG43" s="243">
        <f t="shared" si="161"/>
        <v>3.0000000000000002E-2</v>
      </c>
      <c r="CH43" s="243">
        <f t="shared" si="44"/>
        <v>0</v>
      </c>
      <c r="CI43" s="243">
        <f t="shared" si="162"/>
        <v>0</v>
      </c>
      <c r="CJ43" s="243">
        <f t="shared" si="46"/>
        <v>0</v>
      </c>
      <c r="CK43" s="243">
        <f t="shared" si="163"/>
        <v>0</v>
      </c>
      <c r="CL43" s="243">
        <f t="shared" si="48"/>
        <v>0</v>
      </c>
      <c r="CM43" s="243">
        <f t="shared" si="164"/>
        <v>0</v>
      </c>
      <c r="CN43" s="243">
        <f t="shared" si="50"/>
        <v>0</v>
      </c>
      <c r="CO43" s="243">
        <f t="shared" si="165"/>
        <v>0</v>
      </c>
      <c r="CP43" s="243">
        <f t="shared" si="52"/>
        <v>0.03</v>
      </c>
      <c r="CQ43" s="243">
        <f t="shared" si="166"/>
        <v>6.0000000000000005E-2</v>
      </c>
      <c r="CR43" s="238">
        <f t="shared" si="167"/>
        <v>0.39</v>
      </c>
      <c r="CS43" s="246">
        <f t="shared" si="168"/>
        <v>0.14803206320874324</v>
      </c>
      <c r="CT43" s="188">
        <f t="shared" si="88"/>
        <v>0.93770194559790121</v>
      </c>
      <c r="CU43" s="206">
        <f t="shared" si="169"/>
        <v>6.937701945597901</v>
      </c>
      <c r="CV43" s="227">
        <f t="shared" si="170"/>
        <v>0.86483969000817484</v>
      </c>
      <c r="CW43">
        <f t="shared" si="171"/>
        <v>47.908964346349748</v>
      </c>
      <c r="CX43">
        <f t="shared" si="172"/>
        <v>95.346716521557198</v>
      </c>
      <c r="DA43" s="22">
        <v>40000</v>
      </c>
      <c r="DB43" s="22">
        <f t="shared" si="89"/>
        <v>251327.41228718346</v>
      </c>
      <c r="DC43" s="260">
        <f t="shared" si="90"/>
        <v>-6.6281041694656251</v>
      </c>
      <c r="DD43" s="93">
        <f t="shared" si="112"/>
        <v>163.51035648726398</v>
      </c>
      <c r="DE43" s="260">
        <f t="shared" si="113"/>
        <v>-6.2431224027701475</v>
      </c>
      <c r="DF43" s="93">
        <f t="shared" si="114"/>
        <v>179.74933264702221</v>
      </c>
      <c r="DG43" s="257">
        <f t="shared" si="115"/>
        <v>-2.7122144851396204</v>
      </c>
      <c r="DH43" s="93">
        <f t="shared" si="116"/>
        <v>-119.98380596141325</v>
      </c>
      <c r="DI43" s="91">
        <f t="shared" si="96"/>
        <v>-23.670369160966249</v>
      </c>
      <c r="DJ43" s="257">
        <f t="shared" si="97"/>
        <v>120.25357470186337</v>
      </c>
      <c r="DK43" s="92">
        <f t="shared" si="98"/>
        <v>-22.560245668007081</v>
      </c>
      <c r="DL43" s="93">
        <f t="shared" si="99"/>
        <v>120.39328596693804</v>
      </c>
      <c r="DM43" s="260">
        <f t="shared" si="100"/>
        <v>-30.298473330431875</v>
      </c>
      <c r="DN43" s="270">
        <f t="shared" si="101"/>
        <v>-76.236068810872666</v>
      </c>
      <c r="DO43" s="260">
        <f t="shared" si="102"/>
        <v>-29.913491563736397</v>
      </c>
      <c r="DP43" s="267">
        <f t="shared" si="103"/>
        <v>300.00290734888557</v>
      </c>
      <c r="DQ43" s="257">
        <f t="shared" si="104"/>
        <v>-26.382583646105871</v>
      </c>
      <c r="DR43" s="267">
        <f t="shared" si="105"/>
        <v>0.26976874045011812</v>
      </c>
      <c r="DS43" s="260">
        <f t="shared" si="106"/>
        <v>-29.188349837472707</v>
      </c>
      <c r="DT43" s="269">
        <f t="shared" si="107"/>
        <v>-76.096357545797943</v>
      </c>
      <c r="DU43" s="260">
        <f t="shared" si="108"/>
        <v>-28.803368070777228</v>
      </c>
      <c r="DV43" s="93">
        <f t="shared" si="109"/>
        <v>300.14261861396028</v>
      </c>
      <c r="DW43" s="257">
        <f t="shared" si="110"/>
        <v>-25.272460153146703</v>
      </c>
      <c r="DX43" s="93">
        <f t="shared" si="111"/>
        <v>0.40948000552478447</v>
      </c>
    </row>
    <row r="44" spans="1:128" ht="15.75" thickBot="1" x14ac:dyDescent="0.3">
      <c r="A44" s="12" t="s">
        <v>398</v>
      </c>
      <c r="B44" s="190">
        <f>COUT2_FlyB_CCM</f>
        <v>1.9999999999999998E-5</v>
      </c>
      <c r="C44" s="12" t="s">
        <v>351</v>
      </c>
      <c r="D44" s="115"/>
      <c r="E44" s="115"/>
      <c r="F44" s="115"/>
      <c r="G44" s="115"/>
      <c r="H44" s="115"/>
      <c r="I44" s="116"/>
      <c r="J44" s="115"/>
      <c r="L44" s="58">
        <v>40</v>
      </c>
      <c r="M44" s="62">
        <f t="shared" si="117"/>
        <v>40.200000000000003</v>
      </c>
      <c r="N44" s="42">
        <f t="shared" si="118"/>
        <v>1.5016562336387336E-4</v>
      </c>
      <c r="O44" s="19">
        <f t="shared" si="119"/>
        <v>1.3514906102748603E-4</v>
      </c>
      <c r="P44" s="43">
        <f t="shared" si="120"/>
        <v>1.2286278275226004E-4</v>
      </c>
      <c r="Q44" s="60">
        <f t="shared" si="121"/>
        <v>0.18289863274644727</v>
      </c>
      <c r="R44" s="63">
        <f t="shared" si="122"/>
        <v>0.16583747927031506</v>
      </c>
      <c r="S44" s="28">
        <f t="shared" si="123"/>
        <v>0.90671798241496904</v>
      </c>
      <c r="T44" s="12">
        <f t="shared" si="124"/>
        <v>0.3025730467657276</v>
      </c>
      <c r="U44" s="12">
        <f t="shared" si="60"/>
        <v>1.0580045057978329</v>
      </c>
      <c r="V44" s="55">
        <f t="shared" si="125"/>
        <v>1.2087976812061543</v>
      </c>
      <c r="W44" s="54">
        <f t="shared" si="61"/>
        <v>0.38956796018524981</v>
      </c>
      <c r="X44" s="55">
        <f t="shared" si="62"/>
        <v>0.35250691634656506</v>
      </c>
      <c r="Y44" s="54">
        <f t="shared" si="126"/>
        <v>0.56740810844846834</v>
      </c>
      <c r="Z44" s="55">
        <f t="shared" si="63"/>
        <v>0.26823862796597514</v>
      </c>
      <c r="AA44" s="54">
        <f t="shared" si="127"/>
        <v>0.56740810844846834</v>
      </c>
      <c r="AB44" s="55">
        <f t="shared" si="64"/>
        <v>0.26823862796597514</v>
      </c>
      <c r="AC44" s="54">
        <f t="shared" si="128"/>
        <v>0</v>
      </c>
      <c r="AD44" s="55">
        <f t="shared" si="65"/>
        <v>0</v>
      </c>
      <c r="AE44" s="54">
        <f t="shared" si="129"/>
        <v>0</v>
      </c>
      <c r="AF44" s="55">
        <f t="shared" si="66"/>
        <v>0</v>
      </c>
      <c r="AG44" s="54">
        <f t="shared" si="130"/>
        <v>0</v>
      </c>
      <c r="AH44" s="55">
        <f t="shared" si="67"/>
        <v>0</v>
      </c>
      <c r="AI44" s="54">
        <f t="shared" si="131"/>
        <v>0</v>
      </c>
      <c r="AJ44" s="177">
        <f t="shared" si="69"/>
        <v>0</v>
      </c>
      <c r="AK44" s="54">
        <f t="shared" si="132"/>
        <v>0.12684858643280797</v>
      </c>
      <c r="AL44" s="55">
        <f t="shared" si="133"/>
        <v>7.8042064811238501E-2</v>
      </c>
      <c r="AM44" s="179">
        <f t="shared" si="134"/>
        <v>2.6507048224122792E-2</v>
      </c>
      <c r="AN44" s="52">
        <f t="shared" si="135"/>
        <v>0</v>
      </c>
      <c r="AO44" s="74">
        <f t="shared" si="136"/>
        <v>0</v>
      </c>
      <c r="AP44" s="78">
        <v>0</v>
      </c>
      <c r="AQ44" s="87">
        <f t="shared" si="137"/>
        <v>0</v>
      </c>
      <c r="AR44" s="46">
        <f t="shared" si="138"/>
        <v>14.139687503297807</v>
      </c>
      <c r="AS44" s="69">
        <f t="shared" si="139"/>
        <v>1.0604765627473355E-2</v>
      </c>
      <c r="AT44" s="42">
        <f t="shared" si="140"/>
        <v>17.500380319526538</v>
      </c>
      <c r="AU44" s="79">
        <f t="shared" si="141"/>
        <v>1.3125285239644903E-2</v>
      </c>
      <c r="AV44" s="83">
        <f t="shared" si="71"/>
        <v>2.9581246321502865E-3</v>
      </c>
      <c r="AW44" s="84">
        <f t="shared" si="72"/>
        <v>1.3365535907835922E-2</v>
      </c>
      <c r="AX44" s="42">
        <f t="shared" si="142"/>
        <v>4.1058732612055629E-2</v>
      </c>
      <c r="AY44" s="43">
        <f t="shared" si="73"/>
        <v>1.181702539799674E-2</v>
      </c>
      <c r="AZ44" s="85">
        <f t="shared" si="143"/>
        <v>4.1058732612055629E-2</v>
      </c>
      <c r="BA44" s="86">
        <f t="shared" si="74"/>
        <v>1.181702539799674E-2</v>
      </c>
      <c r="BB44" s="85">
        <f t="shared" si="144"/>
        <v>0</v>
      </c>
      <c r="BC44" s="86">
        <f t="shared" si="75"/>
        <v>0</v>
      </c>
      <c r="BD44" s="85">
        <f t="shared" si="145"/>
        <v>0</v>
      </c>
      <c r="BE44" s="86">
        <f t="shared" si="76"/>
        <v>0</v>
      </c>
      <c r="BF44" s="85">
        <f t="shared" si="146"/>
        <v>0</v>
      </c>
      <c r="BG44" s="86">
        <f t="shared" si="77"/>
        <v>0</v>
      </c>
      <c r="BH44" s="85">
        <f t="shared" si="147"/>
        <v>0</v>
      </c>
      <c r="BI44" s="86">
        <f t="shared" si="78"/>
        <v>0</v>
      </c>
      <c r="BJ44" s="85">
        <f t="shared" si="148"/>
        <v>3.1673879443585777E-3</v>
      </c>
      <c r="BK44" s="207">
        <f t="shared" si="149"/>
        <v>1.9291178607862714E-3</v>
      </c>
      <c r="BL44" s="85">
        <f t="shared" si="79"/>
        <v>0.12717168236523582</v>
      </c>
      <c r="BM44" s="176">
        <f t="shared" si="80"/>
        <v>0.12717168236523582</v>
      </c>
      <c r="BN44" s="176">
        <f t="shared" si="81"/>
        <v>0.12717168236523582</v>
      </c>
      <c r="BO44" s="176">
        <f t="shared" si="82"/>
        <v>0.13777644799270919</v>
      </c>
      <c r="BP44" s="86">
        <f t="shared" si="83"/>
        <v>0.14029696760488072</v>
      </c>
      <c r="BQ44" s="211">
        <f t="shared" si="84"/>
        <v>1.9251448671512527E-3</v>
      </c>
      <c r="BR44" s="237">
        <f t="shared" si="150"/>
        <v>2.5000000000000001E-3</v>
      </c>
      <c r="BS44" s="237">
        <f t="shared" si="151"/>
        <v>2.5000000000000001E-3</v>
      </c>
      <c r="BT44" s="237">
        <f t="shared" si="152"/>
        <v>0</v>
      </c>
      <c r="BU44" s="237">
        <f t="shared" si="153"/>
        <v>0</v>
      </c>
      <c r="BV44" s="237">
        <f t="shared" si="154"/>
        <v>0</v>
      </c>
      <c r="BW44" s="237">
        <f t="shared" si="155"/>
        <v>0</v>
      </c>
      <c r="BX44" s="212">
        <f t="shared" si="156"/>
        <v>1.0000000000000002E-4</v>
      </c>
      <c r="BY44" s="238">
        <f t="shared" si="85"/>
        <v>7.0251448671512532E-3</v>
      </c>
      <c r="BZ44" s="244">
        <f t="shared" si="86"/>
        <v>1.3751034765366088E-4</v>
      </c>
      <c r="CA44" s="243">
        <f t="shared" si="157"/>
        <v>0.16402528301886793</v>
      </c>
      <c r="CB44" s="243">
        <f t="shared" si="158"/>
        <v>0.23099999999999998</v>
      </c>
      <c r="CC44" s="238">
        <f t="shared" si="87"/>
        <v>0.3951627933665216</v>
      </c>
      <c r="CD44" s="244">
        <f t="shared" si="159"/>
        <v>0.15</v>
      </c>
      <c r="CE44" s="243">
        <f t="shared" si="160"/>
        <v>3.0000000000000002E-2</v>
      </c>
      <c r="CF44" s="243">
        <f t="shared" si="42"/>
        <v>0.15</v>
      </c>
      <c r="CG44" s="243">
        <f t="shared" si="161"/>
        <v>3.0000000000000002E-2</v>
      </c>
      <c r="CH44" s="243">
        <f t="shared" si="44"/>
        <v>0</v>
      </c>
      <c r="CI44" s="243">
        <f t="shared" si="162"/>
        <v>0</v>
      </c>
      <c r="CJ44" s="243">
        <f t="shared" si="46"/>
        <v>0</v>
      </c>
      <c r="CK44" s="243">
        <f t="shared" si="163"/>
        <v>0</v>
      </c>
      <c r="CL44" s="243">
        <f t="shared" si="48"/>
        <v>0</v>
      </c>
      <c r="CM44" s="243">
        <f t="shared" si="164"/>
        <v>0</v>
      </c>
      <c r="CN44" s="243">
        <f t="shared" si="50"/>
        <v>0</v>
      </c>
      <c r="CO44" s="243">
        <f t="shared" si="165"/>
        <v>0</v>
      </c>
      <c r="CP44" s="243">
        <f t="shared" si="52"/>
        <v>0.03</v>
      </c>
      <c r="CQ44" s="243">
        <f t="shared" si="166"/>
        <v>6.0000000000000005E-2</v>
      </c>
      <c r="CR44" s="238">
        <f t="shared" si="167"/>
        <v>0.39</v>
      </c>
      <c r="CS44" s="246">
        <f t="shared" si="168"/>
        <v>0.14703372204684351</v>
      </c>
      <c r="CT44" s="188">
        <f t="shared" si="88"/>
        <v>0.93922166028051646</v>
      </c>
      <c r="CU44" s="206">
        <f t="shared" si="169"/>
        <v>6.9392216602805163</v>
      </c>
      <c r="CV44" s="227">
        <f t="shared" si="170"/>
        <v>0.86465028698297142</v>
      </c>
      <c r="CW44">
        <f t="shared" si="171"/>
        <v>48.688964346349749</v>
      </c>
      <c r="CX44">
        <f t="shared" si="172"/>
        <v>96.004364255650245</v>
      </c>
      <c r="DA44" s="22">
        <v>50000</v>
      </c>
      <c r="DB44" s="22">
        <f t="shared" si="89"/>
        <v>314159.26535897929</v>
      </c>
      <c r="DC44" s="260">
        <f t="shared" si="90"/>
        <v>-8.5706254763700578</v>
      </c>
      <c r="DD44" s="93">
        <f t="shared" si="112"/>
        <v>152.00735568819823</v>
      </c>
      <c r="DE44" s="260">
        <f t="shared" si="113"/>
        <v>-8.4320911671735121</v>
      </c>
      <c r="DF44" s="93">
        <f t="shared" si="114"/>
        <v>167.30057172460141</v>
      </c>
      <c r="DG44" s="257">
        <f t="shared" si="115"/>
        <v>-4.9704037563772534</v>
      </c>
      <c r="DH44" s="93">
        <f t="shared" si="116"/>
        <v>-127.14120229840366</v>
      </c>
      <c r="DI44" s="91">
        <f t="shared" si="96"/>
        <v>-25.173739797658207</v>
      </c>
      <c r="DJ44" s="257">
        <f t="shared" si="97"/>
        <v>115.07331745123896</v>
      </c>
      <c r="DK44" s="92">
        <f t="shared" si="98"/>
        <v>-24.060540396652968</v>
      </c>
      <c r="DL44" s="93">
        <f t="shared" si="99"/>
        <v>115.19479799049424</v>
      </c>
      <c r="DM44" s="260">
        <f t="shared" si="100"/>
        <v>-33.744365274028269</v>
      </c>
      <c r="DN44" s="270">
        <f t="shared" si="101"/>
        <v>-92.919326860562819</v>
      </c>
      <c r="DO44" s="260">
        <f t="shared" si="102"/>
        <v>-33.605830964831718</v>
      </c>
      <c r="DP44" s="267">
        <f t="shared" si="103"/>
        <v>282.37388917584036</v>
      </c>
      <c r="DQ44" s="257">
        <f t="shared" si="104"/>
        <v>-30.144143554035459</v>
      </c>
      <c r="DR44" s="267">
        <f t="shared" si="105"/>
        <v>-12.067884847164692</v>
      </c>
      <c r="DS44" s="260">
        <f t="shared" si="106"/>
        <v>-32.631165873023022</v>
      </c>
      <c r="DT44" s="269">
        <f t="shared" si="107"/>
        <v>-92.797846321307546</v>
      </c>
      <c r="DU44" s="260">
        <f t="shared" si="108"/>
        <v>-32.492631563826478</v>
      </c>
      <c r="DV44" s="93">
        <f t="shared" si="109"/>
        <v>282.49536971509565</v>
      </c>
      <c r="DW44" s="257">
        <f t="shared" si="110"/>
        <v>-29.030944153030219</v>
      </c>
      <c r="DX44" s="93">
        <f t="shared" si="111"/>
        <v>-11.946404307909418</v>
      </c>
    </row>
    <row r="45" spans="1:128" ht="15.75" thickBot="1" x14ac:dyDescent="0.3">
      <c r="A45" s="12" t="s">
        <v>399</v>
      </c>
      <c r="B45" s="190">
        <f>IF(AND(Vout3&lt;&gt;0,Iout3&lt;&gt;0,Vout3_Ripple&lt;&gt;0),(Iout3*B7)/(Fsw*Vout3_Ripple*(10^-3)),0)</f>
        <v>0</v>
      </c>
      <c r="C45" s="12" t="s">
        <v>351</v>
      </c>
      <c r="D45" s="115"/>
      <c r="E45" s="115"/>
      <c r="F45" s="115"/>
      <c r="G45" s="115"/>
      <c r="H45" s="115"/>
      <c r="I45" s="116"/>
      <c r="J45" s="115"/>
      <c r="L45" s="58">
        <v>41</v>
      </c>
      <c r="M45" s="62">
        <f t="shared" si="117"/>
        <v>40.980000000000004</v>
      </c>
      <c r="N45" s="42">
        <f t="shared" si="118"/>
        <v>1.5121663146552922E-4</v>
      </c>
      <c r="O45" s="19">
        <f t="shared" si="119"/>
        <v>1.3609496831897631E-4</v>
      </c>
      <c r="P45" s="43">
        <f t="shared" si="120"/>
        <v>1.2372269847179664E-4</v>
      </c>
      <c r="Q45" s="60">
        <f t="shared" si="121"/>
        <v>0.18004417536710327</v>
      </c>
      <c r="R45" s="63">
        <f t="shared" si="122"/>
        <v>0.16268098259313485</v>
      </c>
      <c r="S45" s="28">
        <f t="shared" si="123"/>
        <v>0.90356148573778883</v>
      </c>
      <c r="T45" s="12">
        <f t="shared" si="124"/>
        <v>0.30363005376723839</v>
      </c>
      <c r="U45" s="12">
        <f t="shared" si="60"/>
        <v>1.0553765126214081</v>
      </c>
      <c r="V45" s="55">
        <f t="shared" si="125"/>
        <v>1.2034835846293901</v>
      </c>
      <c r="W45" s="54">
        <f t="shared" si="61"/>
        <v>0.385195376215898</v>
      </c>
      <c r="X45" s="55">
        <f t="shared" si="62"/>
        <v>0.34915666363487802</v>
      </c>
      <c r="Y45" s="54">
        <f t="shared" si="126"/>
        <v>0.56661718473054845</v>
      </c>
      <c r="Z45" s="55">
        <f t="shared" si="63"/>
        <v>0.26656150140628415</v>
      </c>
      <c r="AA45" s="54">
        <f t="shared" si="127"/>
        <v>0.56661718473054845</v>
      </c>
      <c r="AB45" s="55">
        <f t="shared" si="64"/>
        <v>0.26656150140628415</v>
      </c>
      <c r="AC45" s="54">
        <f t="shared" si="128"/>
        <v>0</v>
      </c>
      <c r="AD45" s="55">
        <f t="shared" si="65"/>
        <v>0</v>
      </c>
      <c r="AE45" s="54">
        <f t="shared" si="129"/>
        <v>0</v>
      </c>
      <c r="AF45" s="55">
        <f t="shared" si="66"/>
        <v>0</v>
      </c>
      <c r="AG45" s="54">
        <f t="shared" si="130"/>
        <v>0</v>
      </c>
      <c r="AH45" s="55">
        <f t="shared" si="67"/>
        <v>0</v>
      </c>
      <c r="AI45" s="54">
        <f t="shared" si="131"/>
        <v>0</v>
      </c>
      <c r="AJ45" s="177">
        <f t="shared" si="69"/>
        <v>0</v>
      </c>
      <c r="AK45" s="54">
        <f t="shared" si="132"/>
        <v>0.1268403404549252</v>
      </c>
      <c r="AL45" s="55">
        <f t="shared" si="133"/>
        <v>7.8028661187549114E-2</v>
      </c>
      <c r="AM45" s="179">
        <f t="shared" si="134"/>
        <v>2.6599647799206479E-2</v>
      </c>
      <c r="AN45" s="52">
        <f t="shared" si="135"/>
        <v>0</v>
      </c>
      <c r="AO45" s="74">
        <f t="shared" si="136"/>
        <v>0</v>
      </c>
      <c r="AP45" s="78">
        <v>0</v>
      </c>
      <c r="AQ45" s="87">
        <f t="shared" si="137"/>
        <v>0</v>
      </c>
      <c r="AR45" s="46">
        <f t="shared" si="138"/>
        <v>14.271460814988524</v>
      </c>
      <c r="AS45" s="69">
        <f t="shared" si="139"/>
        <v>1.0703595611241394E-2</v>
      </c>
      <c r="AT45" s="42">
        <f t="shared" si="140"/>
        <v>17.651157955407651</v>
      </c>
      <c r="AU45" s="79">
        <f t="shared" si="141"/>
        <v>1.3238368466555737E-2</v>
      </c>
      <c r="AV45" s="83">
        <f t="shared" si="71"/>
        <v>2.8465883383579547E-3</v>
      </c>
      <c r="AW45" s="84">
        <f t="shared" si="72"/>
        <v>1.311268903052052E-2</v>
      </c>
      <c r="AX45" s="42">
        <f t="shared" si="142"/>
        <v>4.1058732612055629E-2</v>
      </c>
      <c r="AY45" s="43">
        <f t="shared" si="73"/>
        <v>1.1669718572237076E-2</v>
      </c>
      <c r="AZ45" s="85">
        <f t="shared" si="143"/>
        <v>4.1058732612055629E-2</v>
      </c>
      <c r="BA45" s="86">
        <f t="shared" si="74"/>
        <v>1.1669718572237076E-2</v>
      </c>
      <c r="BB45" s="85">
        <f t="shared" si="144"/>
        <v>0</v>
      </c>
      <c r="BC45" s="86">
        <f t="shared" si="75"/>
        <v>0</v>
      </c>
      <c r="BD45" s="85">
        <f t="shared" si="145"/>
        <v>0</v>
      </c>
      <c r="BE45" s="86">
        <f t="shared" si="76"/>
        <v>0</v>
      </c>
      <c r="BF45" s="85">
        <f t="shared" si="146"/>
        <v>0</v>
      </c>
      <c r="BG45" s="86">
        <f t="shared" si="77"/>
        <v>0</v>
      </c>
      <c r="BH45" s="85">
        <f t="shared" si="147"/>
        <v>0</v>
      </c>
      <c r="BI45" s="86">
        <f t="shared" si="78"/>
        <v>0</v>
      </c>
      <c r="BJ45" s="85">
        <f t="shared" si="148"/>
        <v>3.1673879443585777E-3</v>
      </c>
      <c r="BK45" s="207">
        <f t="shared" si="149"/>
        <v>1.9284552706958309E-3</v>
      </c>
      <c r="BL45" s="85">
        <f t="shared" si="79"/>
        <v>0.12651202295251829</v>
      </c>
      <c r="BM45" s="176">
        <f t="shared" si="80"/>
        <v>0.12651202295251829</v>
      </c>
      <c r="BN45" s="176">
        <f t="shared" si="81"/>
        <v>0.12651202295251829</v>
      </c>
      <c r="BO45" s="176">
        <f t="shared" si="82"/>
        <v>0.13721561856375969</v>
      </c>
      <c r="BP45" s="86">
        <f t="shared" si="83"/>
        <v>0.13975039141907403</v>
      </c>
      <c r="BQ45" s="211">
        <f t="shared" si="84"/>
        <v>1.8525571468227492E-3</v>
      </c>
      <c r="BR45" s="237">
        <f t="shared" si="150"/>
        <v>2.5000000000000001E-3</v>
      </c>
      <c r="BS45" s="237">
        <f t="shared" si="151"/>
        <v>2.5000000000000001E-3</v>
      </c>
      <c r="BT45" s="237">
        <f t="shared" si="152"/>
        <v>0</v>
      </c>
      <c r="BU45" s="237">
        <f t="shared" si="153"/>
        <v>0</v>
      </c>
      <c r="BV45" s="237">
        <f t="shared" si="154"/>
        <v>0</v>
      </c>
      <c r="BW45" s="237">
        <f t="shared" si="155"/>
        <v>0</v>
      </c>
      <c r="BX45" s="212">
        <f t="shared" si="156"/>
        <v>1.0000000000000002E-4</v>
      </c>
      <c r="BY45" s="238">
        <f t="shared" si="85"/>
        <v>6.9525571468227491E-3</v>
      </c>
      <c r="BZ45" s="244">
        <f t="shared" si="86"/>
        <v>1.3232551048733923E-4</v>
      </c>
      <c r="CA45" s="243">
        <f t="shared" si="157"/>
        <v>0.16662577358490566</v>
      </c>
      <c r="CB45" s="243">
        <f t="shared" si="158"/>
        <v>0.23099999999999998</v>
      </c>
      <c r="CC45" s="238">
        <f t="shared" si="87"/>
        <v>0.39775809909539295</v>
      </c>
      <c r="CD45" s="244">
        <f t="shared" si="159"/>
        <v>0.15</v>
      </c>
      <c r="CE45" s="243">
        <f t="shared" si="160"/>
        <v>3.0000000000000002E-2</v>
      </c>
      <c r="CF45" s="243">
        <f t="shared" si="42"/>
        <v>0.15</v>
      </c>
      <c r="CG45" s="243">
        <f t="shared" si="161"/>
        <v>3.0000000000000002E-2</v>
      </c>
      <c r="CH45" s="243">
        <f t="shared" si="44"/>
        <v>0</v>
      </c>
      <c r="CI45" s="243">
        <f t="shared" si="162"/>
        <v>0</v>
      </c>
      <c r="CJ45" s="243">
        <f t="shared" si="46"/>
        <v>0</v>
      </c>
      <c r="CK45" s="243">
        <f t="shared" si="163"/>
        <v>0</v>
      </c>
      <c r="CL45" s="243">
        <f t="shared" si="48"/>
        <v>0</v>
      </c>
      <c r="CM45" s="243">
        <f t="shared" si="164"/>
        <v>0</v>
      </c>
      <c r="CN45" s="243">
        <f t="shared" si="50"/>
        <v>0</v>
      </c>
      <c r="CO45" s="243">
        <f t="shared" si="165"/>
        <v>0</v>
      </c>
      <c r="CP45" s="243">
        <f t="shared" si="52"/>
        <v>0.03</v>
      </c>
      <c r="CQ45" s="243">
        <f t="shared" si="166"/>
        <v>6.0000000000000005E-2</v>
      </c>
      <c r="CR45" s="238">
        <f t="shared" si="167"/>
        <v>0.39</v>
      </c>
      <c r="CS45" s="246">
        <f t="shared" si="168"/>
        <v>0.14606422816958436</v>
      </c>
      <c r="CT45" s="188">
        <f t="shared" si="88"/>
        <v>0.94077488441180002</v>
      </c>
      <c r="CU45" s="206">
        <f t="shared" si="169"/>
        <v>6.9407748844118</v>
      </c>
      <c r="CV45" s="227">
        <f t="shared" si="170"/>
        <v>0.86445679335823522</v>
      </c>
      <c r="CW45">
        <f t="shared" si="171"/>
        <v>49.46896434634975</v>
      </c>
      <c r="CX45">
        <f t="shared" si="172"/>
        <v>96.666836827912419</v>
      </c>
      <c r="DA45" s="22">
        <v>60000</v>
      </c>
      <c r="DB45" s="22">
        <f t="shared" si="89"/>
        <v>376991.11843077518</v>
      </c>
      <c r="DC45" s="260">
        <f t="shared" si="90"/>
        <v>-10.15644230974736</v>
      </c>
      <c r="DD45" s="93">
        <f t="shared" si="112"/>
        <v>143.64073808622038</v>
      </c>
      <c r="DE45" s="260">
        <f t="shared" si="113"/>
        <v>-10.199929997821947</v>
      </c>
      <c r="DF45" s="93">
        <f t="shared" si="114"/>
        <v>157.75385303826903</v>
      </c>
      <c r="DG45" s="257">
        <f t="shared" si="115"/>
        <v>-6.9054979244202546</v>
      </c>
      <c r="DH45" s="93">
        <f t="shared" si="116"/>
        <v>-133.72874410018053</v>
      </c>
      <c r="DI45" s="91">
        <f t="shared" si="96"/>
        <v>-26.501519829454466</v>
      </c>
      <c r="DJ45" s="257">
        <f t="shared" si="97"/>
        <v>111.3285792740587</v>
      </c>
      <c r="DK45" s="92">
        <f t="shared" si="98"/>
        <v>-25.386361816321031</v>
      </c>
      <c r="DL45" s="93">
        <f t="shared" si="99"/>
        <v>111.43497035843453</v>
      </c>
      <c r="DM45" s="260">
        <f t="shared" si="100"/>
        <v>-36.657962139201828</v>
      </c>
      <c r="DN45" s="270">
        <f t="shared" si="101"/>
        <v>-105.03068263972089</v>
      </c>
      <c r="DO45" s="260">
        <f t="shared" si="102"/>
        <v>-36.701449827276413</v>
      </c>
      <c r="DP45" s="267">
        <f t="shared" si="103"/>
        <v>269.08243231232774</v>
      </c>
      <c r="DQ45" s="257">
        <f t="shared" si="104"/>
        <v>-33.407017753874719</v>
      </c>
      <c r="DR45" s="267">
        <f t="shared" si="105"/>
        <v>-22.400164826121838</v>
      </c>
      <c r="DS45" s="260">
        <f t="shared" si="106"/>
        <v>-35.54280412606839</v>
      </c>
      <c r="DT45" s="269">
        <f t="shared" si="107"/>
        <v>-104.92429155534508</v>
      </c>
      <c r="DU45" s="260">
        <f t="shared" si="108"/>
        <v>-35.586291814142982</v>
      </c>
      <c r="DV45" s="93">
        <f t="shared" si="109"/>
        <v>269.18882339670358</v>
      </c>
      <c r="DW45" s="257">
        <f t="shared" si="110"/>
        <v>-32.291859740741288</v>
      </c>
      <c r="DX45" s="93">
        <f t="shared" si="111"/>
        <v>-22.293773741746008</v>
      </c>
    </row>
    <row r="46" spans="1:128" ht="15.75" thickBot="1" x14ac:dyDescent="0.3">
      <c r="A46" s="12" t="s">
        <v>400</v>
      </c>
      <c r="B46" s="190">
        <f>COUT3_FlyB_CCM</f>
        <v>0</v>
      </c>
      <c r="C46" s="12" t="s">
        <v>351</v>
      </c>
      <c r="D46" s="115"/>
      <c r="E46" s="115"/>
      <c r="F46" s="115"/>
      <c r="G46" s="115"/>
      <c r="H46" s="115"/>
      <c r="I46" s="116"/>
      <c r="J46" s="115"/>
      <c r="L46" s="58">
        <v>42</v>
      </c>
      <c r="M46" s="62">
        <f t="shared" si="117"/>
        <v>41.76</v>
      </c>
      <c r="N46" s="42">
        <f t="shared" si="118"/>
        <v>1.522388359482711E-4</v>
      </c>
      <c r="O46" s="19">
        <f t="shared" si="119"/>
        <v>1.3701495235344402E-4</v>
      </c>
      <c r="P46" s="43">
        <f t="shared" si="120"/>
        <v>1.2455904759403995E-4</v>
      </c>
      <c r="Q46" s="60">
        <f t="shared" si="121"/>
        <v>0.17727744656255687</v>
      </c>
      <c r="R46" s="63">
        <f t="shared" si="122"/>
        <v>0.15964240102171137</v>
      </c>
      <c r="S46" s="28">
        <f t="shared" si="123"/>
        <v>0.90052290416636538</v>
      </c>
      <c r="T46" s="12">
        <f t="shared" si="124"/>
        <v>0.30465457483343106</v>
      </c>
      <c r="U46" s="12">
        <f t="shared" si="60"/>
        <v>1.0528501915830808</v>
      </c>
      <c r="V46" s="55">
        <f t="shared" si="125"/>
        <v>1.1983484732954697</v>
      </c>
      <c r="W46" s="54">
        <f t="shared" si="61"/>
        <v>0.38096298647387267</v>
      </c>
      <c r="X46" s="55">
        <f t="shared" si="62"/>
        <v>0.34590042043789887</v>
      </c>
      <c r="Y46" s="54">
        <f t="shared" si="126"/>
        <v>0.56585673779165324</v>
      </c>
      <c r="Z46" s="55">
        <f t="shared" si="63"/>
        <v>0.26494121556339972</v>
      </c>
      <c r="AA46" s="54">
        <f t="shared" si="127"/>
        <v>0.56585673779165324</v>
      </c>
      <c r="AB46" s="55">
        <f t="shared" si="64"/>
        <v>0.26494121556339972</v>
      </c>
      <c r="AC46" s="54">
        <f t="shared" si="128"/>
        <v>0</v>
      </c>
      <c r="AD46" s="55">
        <f t="shared" si="65"/>
        <v>0</v>
      </c>
      <c r="AE46" s="54">
        <f t="shared" si="129"/>
        <v>0</v>
      </c>
      <c r="AF46" s="55">
        <f t="shared" si="66"/>
        <v>0</v>
      </c>
      <c r="AG46" s="54">
        <f t="shared" si="130"/>
        <v>0</v>
      </c>
      <c r="AH46" s="55">
        <f t="shared" si="67"/>
        <v>0</v>
      </c>
      <c r="AI46" s="54">
        <f t="shared" si="131"/>
        <v>0</v>
      </c>
      <c r="AJ46" s="177">
        <f t="shared" si="69"/>
        <v>0</v>
      </c>
      <c r="AK46" s="54">
        <f t="shared" si="132"/>
        <v>0.12683452456100058</v>
      </c>
      <c r="AL46" s="55">
        <f t="shared" si="133"/>
        <v>7.8019206741770042E-2</v>
      </c>
      <c r="AM46" s="179">
        <f t="shared" si="134"/>
        <v>2.668940142927527E-2</v>
      </c>
      <c r="AN46" s="52">
        <f t="shared" si="135"/>
        <v>0</v>
      </c>
      <c r="AO46" s="74">
        <f t="shared" si="136"/>
        <v>0</v>
      </c>
      <c r="AP46" s="78">
        <v>0</v>
      </c>
      <c r="AQ46" s="87">
        <f t="shared" si="137"/>
        <v>0</v>
      </c>
      <c r="AR46" s="46">
        <f t="shared" si="138"/>
        <v>14.399913059223586</v>
      </c>
      <c r="AS46" s="69">
        <f t="shared" si="139"/>
        <v>1.0799934794417688E-2</v>
      </c>
      <c r="AT46" s="42">
        <f t="shared" si="140"/>
        <v>17.798034833789419</v>
      </c>
      <c r="AU46" s="79">
        <f t="shared" si="141"/>
        <v>1.3348526125342066E-2</v>
      </c>
      <c r="AV46" s="83">
        <f t="shared" si="71"/>
        <v>2.7412433680395858E-3</v>
      </c>
      <c r="AW46" s="84">
        <f t="shared" si="72"/>
        <v>1.286925101477248E-2</v>
      </c>
      <c r="AX46" s="42">
        <f t="shared" si="142"/>
        <v>4.1058732612055629E-2</v>
      </c>
      <c r="AY46" s="43">
        <f t="shared" si="73"/>
        <v>1.1528281695594356E-2</v>
      </c>
      <c r="AZ46" s="85">
        <f t="shared" si="143"/>
        <v>4.1058732612055629E-2</v>
      </c>
      <c r="BA46" s="86">
        <f t="shared" si="74"/>
        <v>1.1528281695594356E-2</v>
      </c>
      <c r="BB46" s="85">
        <f t="shared" si="144"/>
        <v>0</v>
      </c>
      <c r="BC46" s="86">
        <f t="shared" si="75"/>
        <v>0</v>
      </c>
      <c r="BD46" s="85">
        <f t="shared" si="145"/>
        <v>0</v>
      </c>
      <c r="BE46" s="86">
        <f t="shared" si="76"/>
        <v>0</v>
      </c>
      <c r="BF46" s="85">
        <f t="shared" si="146"/>
        <v>0</v>
      </c>
      <c r="BG46" s="86">
        <f t="shared" si="77"/>
        <v>0</v>
      </c>
      <c r="BH46" s="85">
        <f t="shared" si="147"/>
        <v>0</v>
      </c>
      <c r="BI46" s="86">
        <f t="shared" si="78"/>
        <v>0</v>
      </c>
      <c r="BJ46" s="85">
        <f t="shared" si="148"/>
        <v>3.1673879443585777E-3</v>
      </c>
      <c r="BK46" s="207">
        <f t="shared" si="149"/>
        <v>1.9279879713487529E-3</v>
      </c>
      <c r="BL46" s="85">
        <f t="shared" si="79"/>
        <v>0.12587989891381937</v>
      </c>
      <c r="BM46" s="176">
        <f t="shared" si="80"/>
        <v>0.12587989891381937</v>
      </c>
      <c r="BN46" s="176">
        <f t="shared" si="81"/>
        <v>0.12587989891381937</v>
      </c>
      <c r="BO46" s="176">
        <f t="shared" si="82"/>
        <v>0.13667983370823705</v>
      </c>
      <c r="BP46" s="86">
        <f t="shared" si="83"/>
        <v>0.13922842503916144</v>
      </c>
      <c r="BQ46" s="211">
        <f t="shared" si="84"/>
        <v>1.7839987342783839E-3</v>
      </c>
      <c r="BR46" s="237">
        <f t="shared" si="150"/>
        <v>2.5000000000000001E-3</v>
      </c>
      <c r="BS46" s="237">
        <f t="shared" si="151"/>
        <v>2.5000000000000001E-3</v>
      </c>
      <c r="BT46" s="237">
        <f t="shared" si="152"/>
        <v>0</v>
      </c>
      <c r="BU46" s="237">
        <f t="shared" si="153"/>
        <v>0</v>
      </c>
      <c r="BV46" s="237">
        <f t="shared" si="154"/>
        <v>0</v>
      </c>
      <c r="BW46" s="237">
        <f t="shared" si="155"/>
        <v>0</v>
      </c>
      <c r="BX46" s="212">
        <f t="shared" si="156"/>
        <v>1.0000000000000002E-4</v>
      </c>
      <c r="BY46" s="238">
        <f t="shared" si="85"/>
        <v>6.8839987342783843E-3</v>
      </c>
      <c r="BZ46" s="244">
        <f t="shared" si="86"/>
        <v>1.2742848101988456E-4</v>
      </c>
      <c r="CA46" s="243">
        <f t="shared" si="157"/>
        <v>0.16922626415094341</v>
      </c>
      <c r="CB46" s="243">
        <f t="shared" si="158"/>
        <v>0.23099999999999998</v>
      </c>
      <c r="CC46" s="238">
        <f t="shared" si="87"/>
        <v>0.4003536926319633</v>
      </c>
      <c r="CD46" s="244">
        <f t="shared" si="159"/>
        <v>0.15</v>
      </c>
      <c r="CE46" s="243">
        <f t="shared" si="160"/>
        <v>3.0000000000000002E-2</v>
      </c>
      <c r="CF46" s="243">
        <f t="shared" si="42"/>
        <v>0.15</v>
      </c>
      <c r="CG46" s="243">
        <f t="shared" si="161"/>
        <v>3.0000000000000002E-2</v>
      </c>
      <c r="CH46" s="243">
        <f t="shared" si="44"/>
        <v>0</v>
      </c>
      <c r="CI46" s="243">
        <f t="shared" si="162"/>
        <v>0</v>
      </c>
      <c r="CJ46" s="243">
        <f t="shared" si="46"/>
        <v>0</v>
      </c>
      <c r="CK46" s="243">
        <f t="shared" si="163"/>
        <v>0</v>
      </c>
      <c r="CL46" s="243">
        <f t="shared" si="48"/>
        <v>0</v>
      </c>
      <c r="CM46" s="243">
        <f t="shared" si="164"/>
        <v>0</v>
      </c>
      <c r="CN46" s="243">
        <f t="shared" si="50"/>
        <v>0</v>
      </c>
      <c r="CO46" s="243">
        <f t="shared" si="165"/>
        <v>0</v>
      </c>
      <c r="CP46" s="243">
        <f t="shared" si="52"/>
        <v>0.03</v>
      </c>
      <c r="CQ46" s="243">
        <f t="shared" si="166"/>
        <v>6.0000000000000005E-2</v>
      </c>
      <c r="CR46" s="238">
        <f t="shared" si="167"/>
        <v>0.39</v>
      </c>
      <c r="CS46" s="246">
        <f t="shared" si="168"/>
        <v>0.14512138075669884</v>
      </c>
      <c r="CT46" s="188">
        <f t="shared" si="88"/>
        <v>0.94235907212294046</v>
      </c>
      <c r="CU46" s="206">
        <f t="shared" si="169"/>
        <v>6.9423590721229402</v>
      </c>
      <c r="CV46" s="227">
        <f t="shared" si="170"/>
        <v>0.86425953161844005</v>
      </c>
      <c r="CW46">
        <f t="shared" si="171"/>
        <v>50.248964346349744</v>
      </c>
      <c r="CX46">
        <f t="shared" si="172"/>
        <v>97.333856316418661</v>
      </c>
      <c r="DA46" s="22">
        <v>70000</v>
      </c>
      <c r="DB46" s="22">
        <f t="shared" si="89"/>
        <v>439822.97150257102</v>
      </c>
      <c r="DC46" s="260">
        <f t="shared" si="90"/>
        <v>-11.49600080213898</v>
      </c>
      <c r="DD46" s="93">
        <f t="shared" si="112"/>
        <v>137.37562695506026</v>
      </c>
      <c r="DE46" s="260">
        <f t="shared" si="113"/>
        <v>-11.673434937864304</v>
      </c>
      <c r="DF46" s="93">
        <f t="shared" si="114"/>
        <v>150.31567380333587</v>
      </c>
      <c r="DG46" s="257">
        <f t="shared" si="115"/>
        <v>-8.6133089788656942</v>
      </c>
      <c r="DH46" s="93">
        <f t="shared" si="116"/>
        <v>-139.78402136252163</v>
      </c>
      <c r="DI46" s="91">
        <f t="shared" si="96"/>
        <v>-27.678566776204864</v>
      </c>
      <c r="DJ46" s="257">
        <f t="shared" si="97"/>
        <v>108.51950015012685</v>
      </c>
      <c r="DK46" s="92">
        <f t="shared" si="98"/>
        <v>-26.562108549779513</v>
      </c>
      <c r="DL46" s="93">
        <f t="shared" si="99"/>
        <v>108.61362828811397</v>
      </c>
      <c r="DM46" s="260">
        <f t="shared" si="100"/>
        <v>-39.17456757834384</v>
      </c>
      <c r="DN46" s="270">
        <f t="shared" si="101"/>
        <v>-114.10487289481287</v>
      </c>
      <c r="DO46" s="260">
        <f t="shared" si="102"/>
        <v>-39.352001714069168</v>
      </c>
      <c r="DP46" s="267">
        <f t="shared" si="103"/>
        <v>258.83517395346269</v>
      </c>
      <c r="DQ46" s="257">
        <f t="shared" si="104"/>
        <v>-36.291875755070556</v>
      </c>
      <c r="DR46" s="267">
        <f t="shared" si="105"/>
        <v>-31.264521212394783</v>
      </c>
      <c r="DS46" s="260">
        <f t="shared" si="106"/>
        <v>-38.058109351918489</v>
      </c>
      <c r="DT46" s="269">
        <f t="shared" si="107"/>
        <v>-114.01074475682574</v>
      </c>
      <c r="DU46" s="260">
        <f t="shared" si="108"/>
        <v>-38.235543487643817</v>
      </c>
      <c r="DV46" s="93">
        <f t="shared" si="109"/>
        <v>258.92930209144981</v>
      </c>
      <c r="DW46" s="257">
        <f t="shared" si="110"/>
        <v>-35.175417528645205</v>
      </c>
      <c r="DX46" s="93">
        <f t="shared" si="111"/>
        <v>-31.170393074407656</v>
      </c>
    </row>
    <row r="47" spans="1:128" ht="15.75" thickBot="1" x14ac:dyDescent="0.3">
      <c r="A47" s="12" t="s">
        <v>401</v>
      </c>
      <c r="B47" s="190">
        <f>IF(AND(Vout4&lt;&gt;0,Iout4&lt;&gt;0,Vout4_Ripple&lt;&gt;0),(Iout4*B7)/(Fsw*Vout4_Ripple*(10^-3)),0)</f>
        <v>0</v>
      </c>
      <c r="C47" s="12" t="s">
        <v>351</v>
      </c>
      <c r="D47" s="115"/>
      <c r="E47" s="115"/>
      <c r="F47" s="115"/>
      <c r="G47" s="115"/>
      <c r="H47" s="115"/>
      <c r="I47" s="116"/>
      <c r="J47" s="115"/>
      <c r="L47" s="58">
        <v>43</v>
      </c>
      <c r="M47" s="62">
        <f t="shared" si="117"/>
        <v>42.54</v>
      </c>
      <c r="N47" s="42">
        <f t="shared" si="118"/>
        <v>1.5323338817230746E-4</v>
      </c>
      <c r="O47" s="19">
        <f t="shared" si="119"/>
        <v>1.3791004935507671E-4</v>
      </c>
      <c r="P47" s="43">
        <f t="shared" si="120"/>
        <v>1.2537277214097882E-4</v>
      </c>
      <c r="Q47" s="60">
        <f t="shared" si="121"/>
        <v>0.17459446318132193</v>
      </c>
      <c r="R47" s="63">
        <f t="shared" si="122"/>
        <v>0.15671524839366871</v>
      </c>
      <c r="S47" s="28">
        <f t="shared" si="123"/>
        <v>0.89759575153832272</v>
      </c>
      <c r="T47" s="12">
        <f t="shared" si="124"/>
        <v>0.30564808492730189</v>
      </c>
      <c r="U47" s="12">
        <f t="shared" si="60"/>
        <v>1.0504197940019737</v>
      </c>
      <c r="V47" s="55">
        <f t="shared" si="125"/>
        <v>1.1933829039711081</v>
      </c>
      <c r="W47" s="54">
        <f t="shared" si="61"/>
        <v>0.37686359600514169</v>
      </c>
      <c r="X47" s="55">
        <f t="shared" si="62"/>
        <v>0.34273386309910692</v>
      </c>
      <c r="Y47" s="54">
        <f t="shared" si="126"/>
        <v>0.56512507560079528</v>
      </c>
      <c r="Z47" s="55">
        <f t="shared" si="63"/>
        <v>0.26337492491276498</v>
      </c>
      <c r="AA47" s="54">
        <f t="shared" si="127"/>
        <v>0.56512507560079528</v>
      </c>
      <c r="AB47" s="55">
        <f t="shared" si="64"/>
        <v>0.26337492491276498</v>
      </c>
      <c r="AC47" s="54">
        <f t="shared" si="128"/>
        <v>0</v>
      </c>
      <c r="AD47" s="55">
        <f t="shared" si="65"/>
        <v>0</v>
      </c>
      <c r="AE47" s="54">
        <f t="shared" si="129"/>
        <v>0</v>
      </c>
      <c r="AF47" s="55">
        <f t="shared" si="66"/>
        <v>0</v>
      </c>
      <c r="AG47" s="54">
        <f t="shared" si="130"/>
        <v>0</v>
      </c>
      <c r="AH47" s="55">
        <f t="shared" si="67"/>
        <v>0</v>
      </c>
      <c r="AI47" s="54">
        <f t="shared" si="131"/>
        <v>0</v>
      </c>
      <c r="AJ47" s="177">
        <f t="shared" si="69"/>
        <v>0</v>
      </c>
      <c r="AK47" s="54">
        <f t="shared" si="132"/>
        <v>0.12683092422895675</v>
      </c>
      <c r="AL47" s="55">
        <f t="shared" si="133"/>
        <v>7.8013353605465324E-2</v>
      </c>
      <c r="AM47" s="179">
        <f t="shared" si="134"/>
        <v>2.677643832912768E-2</v>
      </c>
      <c r="AN47" s="52">
        <f t="shared" si="135"/>
        <v>0</v>
      </c>
      <c r="AO47" s="74">
        <f t="shared" si="136"/>
        <v>0</v>
      </c>
      <c r="AP47" s="78">
        <v>0</v>
      </c>
      <c r="AQ47" s="87">
        <f t="shared" si="137"/>
        <v>0</v>
      </c>
      <c r="AR47" s="46">
        <f t="shared" si="138"/>
        <v>14.52516395800621</v>
      </c>
      <c r="AS47" s="69">
        <f t="shared" si="139"/>
        <v>1.0893872968504657E-2</v>
      </c>
      <c r="AT47" s="42">
        <f t="shared" si="140"/>
        <v>17.941156343907874</v>
      </c>
      <c r="AU47" s="79">
        <f t="shared" si="141"/>
        <v>1.3455867257930904E-2</v>
      </c>
      <c r="AV47" s="83">
        <f t="shared" si="71"/>
        <v>2.641639822018863E-3</v>
      </c>
      <c r="AW47" s="84">
        <f t="shared" si="72"/>
        <v>1.2634705523538603E-2</v>
      </c>
      <c r="AX47" s="42">
        <f t="shared" si="142"/>
        <v>4.1058732612055629E-2</v>
      </c>
      <c r="AY47" s="43">
        <f t="shared" si="73"/>
        <v>1.1392377843889048E-2</v>
      </c>
      <c r="AZ47" s="85">
        <f t="shared" si="143"/>
        <v>4.1058732612055629E-2</v>
      </c>
      <c r="BA47" s="86">
        <f t="shared" si="74"/>
        <v>1.1392377843889048E-2</v>
      </c>
      <c r="BB47" s="85">
        <f t="shared" si="144"/>
        <v>0</v>
      </c>
      <c r="BC47" s="86">
        <f t="shared" si="75"/>
        <v>0</v>
      </c>
      <c r="BD47" s="85">
        <f t="shared" si="145"/>
        <v>0</v>
      </c>
      <c r="BE47" s="86">
        <f t="shared" si="76"/>
        <v>0</v>
      </c>
      <c r="BF47" s="85">
        <f t="shared" si="146"/>
        <v>0</v>
      </c>
      <c r="BG47" s="86">
        <f t="shared" si="77"/>
        <v>0</v>
      </c>
      <c r="BH47" s="85">
        <f t="shared" si="147"/>
        <v>0</v>
      </c>
      <c r="BI47" s="86">
        <f t="shared" si="78"/>
        <v>0</v>
      </c>
      <c r="BJ47" s="85">
        <f t="shared" si="148"/>
        <v>3.1673879443585777E-3</v>
      </c>
      <c r="BK47" s="207">
        <f t="shared" si="149"/>
        <v>1.927698700192081E-3</v>
      </c>
      <c r="BL47" s="85">
        <f t="shared" si="79"/>
        <v>0.12527365290199749</v>
      </c>
      <c r="BM47" s="176">
        <f t="shared" si="80"/>
        <v>0.12527365290199749</v>
      </c>
      <c r="BN47" s="176">
        <f t="shared" si="81"/>
        <v>0.12527365290199749</v>
      </c>
      <c r="BO47" s="176">
        <f t="shared" si="82"/>
        <v>0.13616752587050215</v>
      </c>
      <c r="BP47" s="86">
        <f t="shared" si="83"/>
        <v>0.1387295201599284</v>
      </c>
      <c r="BQ47" s="211">
        <f t="shared" si="84"/>
        <v>1.71917683553625E-3</v>
      </c>
      <c r="BR47" s="237">
        <f t="shared" si="150"/>
        <v>2.5000000000000001E-3</v>
      </c>
      <c r="BS47" s="237">
        <f t="shared" si="151"/>
        <v>2.5000000000000001E-3</v>
      </c>
      <c r="BT47" s="237">
        <f t="shared" si="152"/>
        <v>0</v>
      </c>
      <c r="BU47" s="237">
        <f t="shared" si="153"/>
        <v>0</v>
      </c>
      <c r="BV47" s="237">
        <f t="shared" si="154"/>
        <v>0</v>
      </c>
      <c r="BW47" s="237">
        <f t="shared" si="155"/>
        <v>0</v>
      </c>
      <c r="BX47" s="212">
        <f t="shared" si="156"/>
        <v>1.0000000000000002E-4</v>
      </c>
      <c r="BY47" s="238">
        <f t="shared" si="85"/>
        <v>6.8191768355362501E-3</v>
      </c>
      <c r="BZ47" s="244">
        <f t="shared" si="86"/>
        <v>1.2279834539544643E-4</v>
      </c>
      <c r="CA47" s="243">
        <f t="shared" si="157"/>
        <v>0.17182675471698111</v>
      </c>
      <c r="CB47" s="243">
        <f t="shared" si="158"/>
        <v>0.23099999999999998</v>
      </c>
      <c r="CC47" s="238">
        <f t="shared" si="87"/>
        <v>0.40294955306237656</v>
      </c>
      <c r="CD47" s="244">
        <f t="shared" si="159"/>
        <v>0.15</v>
      </c>
      <c r="CE47" s="243">
        <f t="shared" si="160"/>
        <v>3.0000000000000002E-2</v>
      </c>
      <c r="CF47" s="243">
        <f t="shared" si="42"/>
        <v>0.15</v>
      </c>
      <c r="CG47" s="243">
        <f t="shared" si="161"/>
        <v>3.0000000000000002E-2</v>
      </c>
      <c r="CH47" s="243">
        <f t="shared" si="44"/>
        <v>0</v>
      </c>
      <c r="CI47" s="243">
        <f t="shared" si="162"/>
        <v>0</v>
      </c>
      <c r="CJ47" s="243">
        <f t="shared" si="46"/>
        <v>0</v>
      </c>
      <c r="CK47" s="243">
        <f t="shared" si="163"/>
        <v>0</v>
      </c>
      <c r="CL47" s="243">
        <f t="shared" si="48"/>
        <v>0</v>
      </c>
      <c r="CM47" s="243">
        <f t="shared" si="164"/>
        <v>0</v>
      </c>
      <c r="CN47" s="243">
        <f t="shared" si="50"/>
        <v>0</v>
      </c>
      <c r="CO47" s="243">
        <f t="shared" si="165"/>
        <v>0</v>
      </c>
      <c r="CP47" s="243">
        <f t="shared" si="52"/>
        <v>0.03</v>
      </c>
      <c r="CQ47" s="243">
        <f t="shared" si="166"/>
        <v>6.0000000000000005E-2</v>
      </c>
      <c r="CR47" s="238">
        <f t="shared" si="167"/>
        <v>0.39</v>
      </c>
      <c r="CS47" s="246">
        <f t="shared" si="168"/>
        <v>0.14420313256796805</v>
      </c>
      <c r="CT47" s="188">
        <f t="shared" si="88"/>
        <v>0.94397186246588083</v>
      </c>
      <c r="CU47" s="206">
        <f t="shared" si="169"/>
        <v>6.9439718624658813</v>
      </c>
      <c r="CV47" s="227">
        <f t="shared" si="170"/>
        <v>0.86405880076094288</v>
      </c>
      <c r="CW47">
        <f t="shared" si="171"/>
        <v>51.028964346349746</v>
      </c>
      <c r="CX47">
        <f t="shared" si="172"/>
        <v>98.005165632344529</v>
      </c>
      <c r="DA47" s="22">
        <v>80000</v>
      </c>
      <c r="DB47" s="22">
        <f t="shared" si="89"/>
        <v>502654.82457436691</v>
      </c>
      <c r="DC47" s="260">
        <f t="shared" si="90"/>
        <v>-12.655306303520724</v>
      </c>
      <c r="DD47" s="93">
        <f t="shared" si="112"/>
        <v>132.56350283315308</v>
      </c>
      <c r="DE47" s="260">
        <f t="shared" si="113"/>
        <v>-12.932273492050202</v>
      </c>
      <c r="DF47" s="93">
        <f t="shared" si="114"/>
        <v>144.42514490539764</v>
      </c>
      <c r="DG47" s="257">
        <f t="shared" si="115"/>
        <v>-10.148031817604954</v>
      </c>
      <c r="DH47" s="93">
        <f t="shared" si="116"/>
        <v>-145.34431674223885</v>
      </c>
      <c r="DI47" s="91">
        <f t="shared" si="96"/>
        <v>-28.73000582464941</v>
      </c>
      <c r="DJ47" s="257">
        <f t="shared" si="97"/>
        <v>106.3448269655339</v>
      </c>
      <c r="DK47" s="92">
        <f t="shared" si="98"/>
        <v>-27.61264949592055</v>
      </c>
      <c r="DL47" s="93">
        <f t="shared" si="99"/>
        <v>106.42896389402719</v>
      </c>
      <c r="DM47" s="260">
        <f t="shared" si="100"/>
        <v>-41.385312128170135</v>
      </c>
      <c r="DN47" s="270">
        <f t="shared" si="101"/>
        <v>-121.09167020131312</v>
      </c>
      <c r="DO47" s="260">
        <f t="shared" si="102"/>
        <v>-41.66227931669961</v>
      </c>
      <c r="DP47" s="267">
        <f t="shared" si="103"/>
        <v>250.76997187093156</v>
      </c>
      <c r="DQ47" s="257">
        <f t="shared" si="104"/>
        <v>-38.878037642254363</v>
      </c>
      <c r="DR47" s="267">
        <f t="shared" si="105"/>
        <v>-38.999489776704948</v>
      </c>
      <c r="DS47" s="260">
        <f t="shared" si="106"/>
        <v>-40.267955799441275</v>
      </c>
      <c r="DT47" s="269">
        <f t="shared" si="107"/>
        <v>-121.00753327281969</v>
      </c>
      <c r="DU47" s="260">
        <f t="shared" si="108"/>
        <v>-40.54492298797075</v>
      </c>
      <c r="DV47" s="93">
        <f t="shared" si="109"/>
        <v>250.85410879942484</v>
      </c>
      <c r="DW47" s="257">
        <f t="shared" si="110"/>
        <v>-37.760681313525502</v>
      </c>
      <c r="DX47" s="93">
        <f t="shared" si="111"/>
        <v>-38.915352848211654</v>
      </c>
    </row>
    <row r="48" spans="1:128" ht="15.75" thickBot="1" x14ac:dyDescent="0.3">
      <c r="A48" s="12" t="s">
        <v>402</v>
      </c>
      <c r="B48" s="190">
        <f>COUT4_FlyB_CCM</f>
        <v>0</v>
      </c>
      <c r="C48" s="12" t="s">
        <v>351</v>
      </c>
      <c r="D48" s="115"/>
      <c r="E48" s="115"/>
      <c r="F48" s="115"/>
      <c r="G48" s="115"/>
      <c r="H48" s="115"/>
      <c r="I48" s="116"/>
      <c r="J48" s="115"/>
      <c r="L48" s="58">
        <v>44</v>
      </c>
      <c r="M48" s="62">
        <f t="shared" si="117"/>
        <v>43.32</v>
      </c>
      <c r="N48" s="42">
        <f t="shared" si="118"/>
        <v>1.5420138002520843E-4</v>
      </c>
      <c r="O48" s="19">
        <f t="shared" si="119"/>
        <v>1.3878124202268757E-4</v>
      </c>
      <c r="P48" s="43">
        <f t="shared" si="120"/>
        <v>1.2616476547517051E-4</v>
      </c>
      <c r="Q48" s="60">
        <f t="shared" si="121"/>
        <v>0.1719914796070027</v>
      </c>
      <c r="R48" s="63">
        <f t="shared" si="122"/>
        <v>0.15389350569405971</v>
      </c>
      <c r="S48" s="28">
        <f t="shared" si="123"/>
        <v>0.89477400883871383</v>
      </c>
      <c r="T48" s="12">
        <f t="shared" si="124"/>
        <v>0.30661197105248383</v>
      </c>
      <c r="U48" s="12">
        <f t="shared" si="60"/>
        <v>1.0480799943649557</v>
      </c>
      <c r="V48" s="55">
        <f t="shared" si="125"/>
        <v>1.1885780986345609</v>
      </c>
      <c r="W48" s="54">
        <f t="shared" si="61"/>
        <v>0.37289050919985528</v>
      </c>
      <c r="X48" s="55">
        <f t="shared" si="62"/>
        <v>0.33965294162795023</v>
      </c>
      <c r="Y48" s="54">
        <f t="shared" si="126"/>
        <v>0.56442062740723675</v>
      </c>
      <c r="Z48" s="55">
        <f t="shared" si="63"/>
        <v>0.26185997144042233</v>
      </c>
      <c r="AA48" s="54">
        <f t="shared" si="127"/>
        <v>0.56442062740723675</v>
      </c>
      <c r="AB48" s="55">
        <f t="shared" si="64"/>
        <v>0.26185997144042233</v>
      </c>
      <c r="AC48" s="54">
        <f t="shared" si="128"/>
        <v>0</v>
      </c>
      <c r="AD48" s="55">
        <f t="shared" si="65"/>
        <v>0</v>
      </c>
      <c r="AE48" s="54">
        <f t="shared" si="129"/>
        <v>0</v>
      </c>
      <c r="AF48" s="55">
        <f t="shared" si="66"/>
        <v>0</v>
      </c>
      <c r="AG48" s="54">
        <f t="shared" si="130"/>
        <v>0</v>
      </c>
      <c r="AH48" s="55">
        <f t="shared" si="67"/>
        <v>0</v>
      </c>
      <c r="AI48" s="54">
        <f t="shared" si="131"/>
        <v>0</v>
      </c>
      <c r="AJ48" s="177">
        <f t="shared" si="69"/>
        <v>0</v>
      </c>
      <c r="AK48" s="54">
        <f t="shared" si="132"/>
        <v>0.12682934428005105</v>
      </c>
      <c r="AL48" s="55">
        <f t="shared" si="133"/>
        <v>7.8010784962771113E-2</v>
      </c>
      <c r="AM48" s="179">
        <f t="shared" si="134"/>
        <v>2.6860880007842515E-2</v>
      </c>
      <c r="AN48" s="52">
        <f t="shared" si="135"/>
        <v>0</v>
      </c>
      <c r="AO48" s="74">
        <f t="shared" si="136"/>
        <v>0</v>
      </c>
      <c r="AP48" s="78">
        <v>0</v>
      </c>
      <c r="AQ48" s="87">
        <f t="shared" si="137"/>
        <v>0</v>
      </c>
      <c r="AR48" s="46">
        <f t="shared" si="138"/>
        <v>14.647327828781306</v>
      </c>
      <c r="AS48" s="69">
        <f t="shared" si="139"/>
        <v>1.0985495871585978E-2</v>
      </c>
      <c r="AT48" s="42">
        <f t="shared" si="140"/>
        <v>18.080661004340438</v>
      </c>
      <c r="AU48" s="79">
        <f t="shared" si="141"/>
        <v>1.3560495753255328E-2</v>
      </c>
      <c r="AV48" s="83">
        <f t="shared" si="71"/>
        <v>2.5473679364267157E-3</v>
      </c>
      <c r="AW48" s="84">
        <f t="shared" si="72"/>
        <v>1.2408573358265958E-2</v>
      </c>
      <c r="AX48" s="42">
        <f t="shared" si="142"/>
        <v>4.1058732612055629E-2</v>
      </c>
      <c r="AY48" s="43">
        <f t="shared" si="73"/>
        <v>1.1261695053696558E-2</v>
      </c>
      <c r="AZ48" s="85">
        <f t="shared" si="143"/>
        <v>4.1058732612055629E-2</v>
      </c>
      <c r="BA48" s="86">
        <f t="shared" si="74"/>
        <v>1.1261695053696558E-2</v>
      </c>
      <c r="BB48" s="85">
        <f t="shared" si="144"/>
        <v>0</v>
      </c>
      <c r="BC48" s="86">
        <f t="shared" si="75"/>
        <v>0</v>
      </c>
      <c r="BD48" s="85">
        <f t="shared" si="145"/>
        <v>0</v>
      </c>
      <c r="BE48" s="86">
        <f t="shared" si="76"/>
        <v>0</v>
      </c>
      <c r="BF48" s="85">
        <f t="shared" si="146"/>
        <v>0</v>
      </c>
      <c r="BG48" s="86">
        <f t="shared" si="77"/>
        <v>0</v>
      </c>
      <c r="BH48" s="85">
        <f t="shared" si="147"/>
        <v>0</v>
      </c>
      <c r="BI48" s="86">
        <f t="shared" si="78"/>
        <v>0</v>
      </c>
      <c r="BJ48" s="85">
        <f t="shared" si="148"/>
        <v>3.1673879443585777E-3</v>
      </c>
      <c r="BK48" s="207">
        <f t="shared" si="149"/>
        <v>1.9275717607019254E-3</v>
      </c>
      <c r="BL48" s="85">
        <f t="shared" si="79"/>
        <v>0.12469175633125755</v>
      </c>
      <c r="BM48" s="176">
        <f t="shared" si="80"/>
        <v>0.12469175633125755</v>
      </c>
      <c r="BN48" s="176">
        <f t="shared" si="81"/>
        <v>0.12469175633125755</v>
      </c>
      <c r="BO48" s="176">
        <f t="shared" si="82"/>
        <v>0.13567725220284352</v>
      </c>
      <c r="BP48" s="86">
        <f t="shared" si="83"/>
        <v>0.13825225208451289</v>
      </c>
      <c r="BQ48" s="211">
        <f t="shared" si="84"/>
        <v>1.6578247766365314E-3</v>
      </c>
      <c r="BR48" s="237">
        <f t="shared" si="150"/>
        <v>2.5000000000000001E-3</v>
      </c>
      <c r="BS48" s="237">
        <f t="shared" si="151"/>
        <v>2.5000000000000001E-3</v>
      </c>
      <c r="BT48" s="237">
        <f t="shared" si="152"/>
        <v>0</v>
      </c>
      <c r="BU48" s="237">
        <f t="shared" si="153"/>
        <v>0</v>
      </c>
      <c r="BV48" s="237">
        <f t="shared" si="154"/>
        <v>0</v>
      </c>
      <c r="BW48" s="237">
        <f t="shared" si="155"/>
        <v>0</v>
      </c>
      <c r="BX48" s="212">
        <f t="shared" si="156"/>
        <v>1.0000000000000002E-4</v>
      </c>
      <c r="BY48" s="238">
        <f t="shared" si="85"/>
        <v>6.7578247766365311E-3</v>
      </c>
      <c r="BZ48" s="244">
        <f t="shared" si="86"/>
        <v>1.1841605547403795E-4</v>
      </c>
      <c r="CA48" s="243">
        <f t="shared" si="157"/>
        <v>0.17442724528301889</v>
      </c>
      <c r="CB48" s="243">
        <f t="shared" si="158"/>
        <v>0.23099999999999998</v>
      </c>
      <c r="CC48" s="238">
        <f t="shared" si="87"/>
        <v>0.4055456613384929</v>
      </c>
      <c r="CD48" s="244">
        <f t="shared" si="159"/>
        <v>0.15</v>
      </c>
      <c r="CE48" s="243">
        <f t="shared" si="160"/>
        <v>3.0000000000000002E-2</v>
      </c>
      <c r="CF48" s="243">
        <f t="shared" si="42"/>
        <v>0.15</v>
      </c>
      <c r="CG48" s="243">
        <f t="shared" si="161"/>
        <v>3.0000000000000002E-2</v>
      </c>
      <c r="CH48" s="243">
        <f t="shared" si="44"/>
        <v>0</v>
      </c>
      <c r="CI48" s="243">
        <f t="shared" si="162"/>
        <v>0</v>
      </c>
      <c r="CJ48" s="243">
        <f t="shared" si="46"/>
        <v>0</v>
      </c>
      <c r="CK48" s="243">
        <f t="shared" si="163"/>
        <v>0</v>
      </c>
      <c r="CL48" s="243">
        <f t="shared" si="48"/>
        <v>0</v>
      </c>
      <c r="CM48" s="243">
        <f t="shared" si="164"/>
        <v>0</v>
      </c>
      <c r="CN48" s="243">
        <f t="shared" si="50"/>
        <v>0</v>
      </c>
      <c r="CO48" s="243">
        <f t="shared" si="165"/>
        <v>0</v>
      </c>
      <c r="CP48" s="243">
        <f t="shared" si="52"/>
        <v>0.03</v>
      </c>
      <c r="CQ48" s="243">
        <f t="shared" si="166"/>
        <v>6.0000000000000005E-2</v>
      </c>
      <c r="CR48" s="238">
        <f t="shared" si="167"/>
        <v>0.39</v>
      </c>
      <c r="CS48" s="246">
        <f t="shared" si="168"/>
        <v>0.14330757395058513</v>
      </c>
      <c r="CT48" s="188">
        <f t="shared" si="88"/>
        <v>0.9456110600657146</v>
      </c>
      <c r="CU48" s="206">
        <f t="shared" si="169"/>
        <v>6.9456110600657146</v>
      </c>
      <c r="CV48" s="227">
        <f t="shared" si="170"/>
        <v>0.86385487873017064</v>
      </c>
      <c r="CW48">
        <f t="shared" si="171"/>
        <v>51.808964346349747</v>
      </c>
      <c r="CX48">
        <f t="shared" si="172"/>
        <v>98.680526611502501</v>
      </c>
      <c r="DA48" s="22">
        <v>90000</v>
      </c>
      <c r="DB48" s="22">
        <f t="shared" si="89"/>
        <v>565486.6776461628</v>
      </c>
      <c r="DC48" s="260">
        <f t="shared" si="90"/>
        <v>-13.676937115767059</v>
      </c>
      <c r="DD48" s="93">
        <f t="shared" si="112"/>
        <v>128.78780233025921</v>
      </c>
      <c r="DE48" s="260">
        <f t="shared" si="113"/>
        <v>-14.028984914371854</v>
      </c>
      <c r="DF48" s="93">
        <f t="shared" si="114"/>
        <v>139.6886359978418</v>
      </c>
      <c r="DG48" s="257">
        <f t="shared" si="115"/>
        <v>-11.543258752194571</v>
      </c>
      <c r="DH48" s="93">
        <f t="shared" si="116"/>
        <v>-150.4492934000136</v>
      </c>
      <c r="DI48" s="91">
        <f t="shared" si="96"/>
        <v>-29.677141237464127</v>
      </c>
      <c r="DJ48" s="257">
        <f t="shared" si="97"/>
        <v>104.61643303222905</v>
      </c>
      <c r="DK48" s="92">
        <f t="shared" si="98"/>
        <v>-28.5591424580001</v>
      </c>
      <c r="DL48" s="93">
        <f t="shared" si="99"/>
        <v>104.69235012493108</v>
      </c>
      <c r="DM48" s="260">
        <f t="shared" si="100"/>
        <v>-43.354078353231188</v>
      </c>
      <c r="DN48" s="270">
        <f t="shared" si="101"/>
        <v>-126.59576463751171</v>
      </c>
      <c r="DO48" s="260">
        <f t="shared" si="102"/>
        <v>-43.706126151835981</v>
      </c>
      <c r="DP48" s="267">
        <f t="shared" si="103"/>
        <v>244.30506903007085</v>
      </c>
      <c r="DQ48" s="257">
        <f t="shared" si="104"/>
        <v>-41.220399989658702</v>
      </c>
      <c r="DR48" s="267">
        <f t="shared" si="105"/>
        <v>-45.832860367784548</v>
      </c>
      <c r="DS48" s="260">
        <f t="shared" si="106"/>
        <v>-42.236079573767157</v>
      </c>
      <c r="DT48" s="269">
        <f t="shared" si="107"/>
        <v>-126.51984754480972</v>
      </c>
      <c r="DU48" s="260">
        <f t="shared" si="108"/>
        <v>-42.588127372371957</v>
      </c>
      <c r="DV48" s="93">
        <f t="shared" si="109"/>
        <v>244.38098612277287</v>
      </c>
      <c r="DW48" s="257">
        <f t="shared" si="110"/>
        <v>-40.102401210194671</v>
      </c>
      <c r="DX48" s="93">
        <f t="shared" si="111"/>
        <v>-45.75694327508252</v>
      </c>
    </row>
    <row r="49" spans="1:128" ht="15.75" thickBot="1" x14ac:dyDescent="0.3">
      <c r="A49" s="12" t="s">
        <v>403</v>
      </c>
      <c r="B49" s="190">
        <f>IF(AND(Vout5&lt;&gt;0,Iout5&lt;&gt;0,Vout5_Ripple&lt;&gt;0),(Iout5*B7)/(Fsw*Vout5_Ripple*(10^-3)),0)</f>
        <v>0</v>
      </c>
      <c r="C49" s="12" t="s">
        <v>351</v>
      </c>
      <c r="D49" s="115"/>
      <c r="E49" s="115"/>
      <c r="F49" s="115"/>
      <c r="G49" s="115"/>
      <c r="H49" s="115"/>
      <c r="I49" s="115"/>
      <c r="J49" s="115"/>
      <c r="L49" s="58">
        <v>45</v>
      </c>
      <c r="M49" s="62">
        <f t="shared" si="117"/>
        <v>44.1</v>
      </c>
      <c r="N49" s="42">
        <f t="shared" si="118"/>
        <v>1.5514384762510994E-4</v>
      </c>
      <c r="O49" s="19">
        <f t="shared" si="119"/>
        <v>1.3962946286259894E-4</v>
      </c>
      <c r="P49" s="43">
        <f t="shared" si="120"/>
        <v>1.2693587532963538E-4</v>
      </c>
      <c r="Q49" s="60">
        <f t="shared" si="121"/>
        <v>0.16946497031165567</v>
      </c>
      <c r="R49" s="63">
        <f t="shared" si="122"/>
        <v>0.15117157974300829</v>
      </c>
      <c r="S49" s="28">
        <f t="shared" si="123"/>
        <v>0.89205208288766247</v>
      </c>
      <c r="T49" s="12">
        <f t="shared" si="124"/>
        <v>0.30754753871374552</v>
      </c>
      <c r="U49" s="12">
        <f t="shared" si="60"/>
        <v>1.0458258522445352</v>
      </c>
      <c r="V49" s="55">
        <f t="shared" si="125"/>
        <v>1.1839258865103803</v>
      </c>
      <c r="W49" s="54">
        <f t="shared" si="61"/>
        <v>0.36903748657941998</v>
      </c>
      <c r="X49" s="55">
        <f t="shared" si="62"/>
        <v>0.3366538578107473</v>
      </c>
      <c r="Y49" s="54">
        <f t="shared" si="126"/>
        <v>0.56374193316395937</v>
      </c>
      <c r="Z49" s="55">
        <f t="shared" si="63"/>
        <v>0.26039386937375858</v>
      </c>
      <c r="AA49" s="54">
        <f t="shared" si="127"/>
        <v>0.56374193316395937</v>
      </c>
      <c r="AB49" s="55">
        <f t="shared" si="64"/>
        <v>0.26039386937375858</v>
      </c>
      <c r="AC49" s="54">
        <f t="shared" si="128"/>
        <v>0</v>
      </c>
      <c r="AD49" s="55">
        <f t="shared" si="65"/>
        <v>0</v>
      </c>
      <c r="AE49" s="54">
        <f t="shared" si="129"/>
        <v>0</v>
      </c>
      <c r="AF49" s="55">
        <f t="shared" si="66"/>
        <v>0</v>
      </c>
      <c r="AG49" s="54">
        <f t="shared" si="130"/>
        <v>0</v>
      </c>
      <c r="AH49" s="55">
        <f t="shared" si="67"/>
        <v>0</v>
      </c>
      <c r="AI49" s="54">
        <f t="shared" si="131"/>
        <v>0</v>
      </c>
      <c r="AJ49" s="177">
        <f t="shared" si="69"/>
        <v>0</v>
      </c>
      <c r="AK49" s="54">
        <f t="shared" si="132"/>
        <v>0.12682960695022388</v>
      </c>
      <c r="AL49" s="55">
        <f t="shared" si="133"/>
        <v>7.8011212009225159E-2</v>
      </c>
      <c r="AM49" s="179">
        <f t="shared" si="134"/>
        <v>2.6942840834753821E-2</v>
      </c>
      <c r="AN49" s="52">
        <f t="shared" si="135"/>
        <v>0</v>
      </c>
      <c r="AO49" s="74">
        <f t="shared" si="136"/>
        <v>0</v>
      </c>
      <c r="AP49" s="78">
        <v>0</v>
      </c>
      <c r="AQ49" s="87">
        <f t="shared" si="137"/>
        <v>0</v>
      </c>
      <c r="AR49" s="46">
        <f t="shared" si="138"/>
        <v>14.766513862352273</v>
      </c>
      <c r="AS49" s="69">
        <f t="shared" si="139"/>
        <v>1.1074885396764206E-2</v>
      </c>
      <c r="AT49" s="42">
        <f t="shared" si="140"/>
        <v>18.216680842076734</v>
      </c>
      <c r="AU49" s="79">
        <f t="shared" si="141"/>
        <v>1.366251063155755E-2</v>
      </c>
      <c r="AV49" s="83">
        <f t="shared" si="71"/>
        <v>2.4580538615803856E-3</v>
      </c>
      <c r="AW49" s="84">
        <f t="shared" si="72"/>
        <v>1.2190409176653965E-2</v>
      </c>
      <c r="AX49" s="42">
        <f t="shared" si="142"/>
        <v>4.1058732612055629E-2</v>
      </c>
      <c r="AY49" s="43">
        <f t="shared" si="73"/>
        <v>1.1135944073357596E-2</v>
      </c>
      <c r="AZ49" s="85">
        <f t="shared" si="143"/>
        <v>4.1058732612055629E-2</v>
      </c>
      <c r="BA49" s="86">
        <f t="shared" si="74"/>
        <v>1.1135944073357596E-2</v>
      </c>
      <c r="BB49" s="85">
        <f t="shared" si="144"/>
        <v>0</v>
      </c>
      <c r="BC49" s="86">
        <f t="shared" si="75"/>
        <v>0</v>
      </c>
      <c r="BD49" s="85">
        <f t="shared" si="145"/>
        <v>0</v>
      </c>
      <c r="BE49" s="86">
        <f t="shared" si="76"/>
        <v>0</v>
      </c>
      <c r="BF49" s="85">
        <f t="shared" si="146"/>
        <v>0</v>
      </c>
      <c r="BG49" s="86">
        <f t="shared" si="77"/>
        <v>0</v>
      </c>
      <c r="BH49" s="85">
        <f t="shared" si="147"/>
        <v>0</v>
      </c>
      <c r="BI49" s="86">
        <f t="shared" si="78"/>
        <v>0</v>
      </c>
      <c r="BJ49" s="85">
        <f t="shared" si="148"/>
        <v>3.1673879443585777E-3</v>
      </c>
      <c r="BK49" s="207">
        <f t="shared" si="149"/>
        <v>1.9275928645772116E-3</v>
      </c>
      <c r="BL49" s="85">
        <f t="shared" si="79"/>
        <v>0.12413279721799657</v>
      </c>
      <c r="BM49" s="176">
        <f t="shared" si="80"/>
        <v>0.12413279721799657</v>
      </c>
      <c r="BN49" s="176">
        <f t="shared" si="81"/>
        <v>0.12413279721799657</v>
      </c>
      <c r="BO49" s="176">
        <f t="shared" si="82"/>
        <v>0.13520768261476077</v>
      </c>
      <c r="BP49" s="86">
        <f t="shared" si="83"/>
        <v>0.13779530784955413</v>
      </c>
      <c r="BQ49" s="211">
        <f t="shared" si="84"/>
        <v>1.5996992565397703E-3</v>
      </c>
      <c r="BR49" s="237">
        <f t="shared" si="150"/>
        <v>2.5000000000000001E-3</v>
      </c>
      <c r="BS49" s="237">
        <f t="shared" si="151"/>
        <v>2.5000000000000001E-3</v>
      </c>
      <c r="BT49" s="237">
        <f t="shared" si="152"/>
        <v>0</v>
      </c>
      <c r="BU49" s="237">
        <f t="shared" si="153"/>
        <v>0</v>
      </c>
      <c r="BV49" s="237">
        <f t="shared" si="154"/>
        <v>0</v>
      </c>
      <c r="BW49" s="237">
        <f t="shared" si="155"/>
        <v>0</v>
      </c>
      <c r="BX49" s="212">
        <f t="shared" si="156"/>
        <v>1.0000000000000002E-4</v>
      </c>
      <c r="BY49" s="238">
        <f t="shared" si="85"/>
        <v>6.6996992565397711E-3</v>
      </c>
      <c r="BZ49" s="244">
        <f t="shared" si="86"/>
        <v>1.1426423260998358E-4</v>
      </c>
      <c r="CA49" s="243">
        <f t="shared" si="157"/>
        <v>0.17702773584905665</v>
      </c>
      <c r="CB49" s="243">
        <f t="shared" si="158"/>
        <v>0.23099999999999998</v>
      </c>
      <c r="CC49" s="238">
        <f t="shared" si="87"/>
        <v>0.40814200008166662</v>
      </c>
      <c r="CD49" s="244">
        <f t="shared" si="159"/>
        <v>0.15</v>
      </c>
      <c r="CE49" s="243">
        <f t="shared" si="160"/>
        <v>3.0000000000000002E-2</v>
      </c>
      <c r="CF49" s="243">
        <f t="shared" si="42"/>
        <v>0.15</v>
      </c>
      <c r="CG49" s="243">
        <f t="shared" si="161"/>
        <v>3.0000000000000002E-2</v>
      </c>
      <c r="CH49" s="243">
        <f t="shared" si="44"/>
        <v>0</v>
      </c>
      <c r="CI49" s="243">
        <f t="shared" si="162"/>
        <v>0</v>
      </c>
      <c r="CJ49" s="243">
        <f t="shared" si="46"/>
        <v>0</v>
      </c>
      <c r="CK49" s="243">
        <f t="shared" si="163"/>
        <v>0</v>
      </c>
      <c r="CL49" s="243">
        <f t="shared" si="48"/>
        <v>0</v>
      </c>
      <c r="CM49" s="243">
        <f t="shared" si="164"/>
        <v>0</v>
      </c>
      <c r="CN49" s="243">
        <f t="shared" si="50"/>
        <v>0</v>
      </c>
      <c r="CO49" s="243">
        <f t="shared" si="165"/>
        <v>0</v>
      </c>
      <c r="CP49" s="243">
        <f t="shared" si="52"/>
        <v>0.03</v>
      </c>
      <c r="CQ49" s="243">
        <f t="shared" si="166"/>
        <v>6.0000000000000005E-2</v>
      </c>
      <c r="CR49" s="238">
        <f t="shared" si="167"/>
        <v>0.39</v>
      </c>
      <c r="CS49" s="246">
        <f t="shared" si="168"/>
        <v>0.14243291856727683</v>
      </c>
      <c r="CT49" s="188">
        <f t="shared" si="88"/>
        <v>0.94727461790548317</v>
      </c>
      <c r="CU49" s="206">
        <f t="shared" si="169"/>
        <v>6.9472746179054834</v>
      </c>
      <c r="CV49" s="227">
        <f t="shared" si="170"/>
        <v>0.86364802458448453</v>
      </c>
      <c r="CW49">
        <f t="shared" si="171"/>
        <v>52.588964346349748</v>
      </c>
      <c r="CX49">
        <f t="shared" si="172"/>
        <v>99.359718311258376</v>
      </c>
      <c r="DA49" s="22">
        <v>100000</v>
      </c>
      <c r="DB49" s="22">
        <f t="shared" si="89"/>
        <v>628318.53071795858</v>
      </c>
      <c r="DC49" s="260">
        <f t="shared" si="90"/>
        <v>-14.58995444461776</v>
      </c>
      <c r="DD49" s="93">
        <f t="shared" si="112"/>
        <v>125.77274011516519</v>
      </c>
      <c r="DE49" s="260">
        <f t="shared" si="113"/>
        <v>-14.999582530142108</v>
      </c>
      <c r="DF49" s="93">
        <f t="shared" si="114"/>
        <v>135.82782147451638</v>
      </c>
      <c r="DG49" s="257">
        <f t="shared" si="115"/>
        <v>-12.821558066516314</v>
      </c>
      <c r="DH49" s="93">
        <f t="shared" si="116"/>
        <v>-155.13937084358821</v>
      </c>
      <c r="DI49" s="91">
        <f t="shared" si="96"/>
        <v>-30.537162910106925</v>
      </c>
      <c r="DJ49" s="257">
        <f t="shared" si="97"/>
        <v>103.21228301429713</v>
      </c>
      <c r="DK49" s="92">
        <f t="shared" si="98"/>
        <v>-29.418690498292502</v>
      </c>
      <c r="DL49" s="93">
        <f t="shared" si="99"/>
        <v>103.28135738646054</v>
      </c>
      <c r="DM49" s="260">
        <f t="shared" si="100"/>
        <v>-45.127117354724689</v>
      </c>
      <c r="DN49" s="270">
        <f t="shared" si="101"/>
        <v>-131.01497687053765</v>
      </c>
      <c r="DO49" s="260">
        <f t="shared" si="102"/>
        <v>-45.536745440249035</v>
      </c>
      <c r="DP49" s="267">
        <f t="shared" si="103"/>
        <v>239.04010448881351</v>
      </c>
      <c r="DQ49" s="257">
        <f t="shared" si="104"/>
        <v>-43.358720976623239</v>
      </c>
      <c r="DR49" s="267">
        <f t="shared" si="105"/>
        <v>-51.927087829291082</v>
      </c>
      <c r="DS49" s="260">
        <f t="shared" si="106"/>
        <v>-44.008644942910266</v>
      </c>
      <c r="DT49" s="269">
        <f t="shared" si="107"/>
        <v>-130.94590249837421</v>
      </c>
      <c r="DU49" s="260">
        <f t="shared" si="108"/>
        <v>-44.418273028434612</v>
      </c>
      <c r="DV49" s="93">
        <f t="shared" si="109"/>
        <v>239.10917886097693</v>
      </c>
      <c r="DW49" s="257">
        <f t="shared" si="110"/>
        <v>-42.240248564808816</v>
      </c>
      <c r="DX49" s="93">
        <f t="shared" si="111"/>
        <v>-51.858013457127669</v>
      </c>
    </row>
    <row r="50" spans="1:128" ht="15.75" thickBot="1" x14ac:dyDescent="0.3">
      <c r="A50" s="12" t="s">
        <v>404</v>
      </c>
      <c r="B50" s="190">
        <f>COUT5_FlyB_CCM</f>
        <v>0</v>
      </c>
      <c r="C50" s="12" t="s">
        <v>351</v>
      </c>
      <c r="D50" s="115"/>
      <c r="E50" s="115"/>
      <c r="F50" s="115"/>
      <c r="G50" s="115"/>
      <c r="H50" s="115"/>
      <c r="I50" s="115"/>
      <c r="J50" s="115"/>
      <c r="L50" s="58">
        <v>46</v>
      </c>
      <c r="M50" s="62">
        <f t="shared" si="117"/>
        <v>44.88</v>
      </c>
      <c r="N50" s="42">
        <f t="shared" si="118"/>
        <v>1.5606177475917387E-4</v>
      </c>
      <c r="O50" s="19">
        <f t="shared" si="119"/>
        <v>1.4045559728325649E-4</v>
      </c>
      <c r="P50" s="43">
        <f t="shared" si="120"/>
        <v>1.2768690662114227E-4</v>
      </c>
      <c r="Q50" s="60">
        <f t="shared" si="121"/>
        <v>0.16701161392460906</v>
      </c>
      <c r="R50" s="63">
        <f t="shared" si="122"/>
        <v>0.14854426619132499</v>
      </c>
      <c r="S50" s="28">
        <f t="shared" si="123"/>
        <v>0.88942476933597903</v>
      </c>
      <c r="T50" s="12">
        <f t="shared" si="124"/>
        <v>0.30845601781631504</v>
      </c>
      <c r="U50" s="12">
        <f t="shared" si="60"/>
        <v>1.0436527782441365</v>
      </c>
      <c r="V50" s="55">
        <f t="shared" si="125"/>
        <v>1.1794186520783829</v>
      </c>
      <c r="W50" s="54">
        <f t="shared" si="61"/>
        <v>0.36529870602948977</v>
      </c>
      <c r="X50" s="55">
        <f t="shared" si="62"/>
        <v>0.33373304542478316</v>
      </c>
      <c r="Y50" s="54">
        <f t="shared" si="126"/>
        <v>0.56308763403227025</v>
      </c>
      <c r="Z50" s="55">
        <f t="shared" si="63"/>
        <v>0.25897429138827649</v>
      </c>
      <c r="AA50" s="54">
        <f t="shared" si="127"/>
        <v>0.56308763403227025</v>
      </c>
      <c r="AB50" s="55">
        <f t="shared" si="64"/>
        <v>0.25897429138827649</v>
      </c>
      <c r="AC50" s="54">
        <f t="shared" si="128"/>
        <v>0</v>
      </c>
      <c r="AD50" s="55">
        <f t="shared" si="65"/>
        <v>0</v>
      </c>
      <c r="AE50" s="54">
        <f t="shared" si="129"/>
        <v>0</v>
      </c>
      <c r="AF50" s="55">
        <f t="shared" si="66"/>
        <v>0</v>
      </c>
      <c r="AG50" s="54">
        <f t="shared" si="130"/>
        <v>0</v>
      </c>
      <c r="AH50" s="55">
        <f t="shared" si="67"/>
        <v>0</v>
      </c>
      <c r="AI50" s="54">
        <f t="shared" si="131"/>
        <v>0</v>
      </c>
      <c r="AJ50" s="177">
        <f t="shared" si="69"/>
        <v>0</v>
      </c>
      <c r="AK50" s="54">
        <f t="shared" si="132"/>
        <v>0.12683155017567599</v>
      </c>
      <c r="AL50" s="55">
        <f t="shared" si="133"/>
        <v>7.801437123995178E-2</v>
      </c>
      <c r="AM50" s="179">
        <f t="shared" si="134"/>
        <v>2.7022428556263807E-2</v>
      </c>
      <c r="AN50" s="52">
        <f t="shared" si="135"/>
        <v>0</v>
      </c>
      <c r="AO50" s="74">
        <f t="shared" si="136"/>
        <v>0</v>
      </c>
      <c r="AP50" s="78">
        <v>0</v>
      </c>
      <c r="AQ50" s="87">
        <f t="shared" si="137"/>
        <v>0</v>
      </c>
      <c r="AR50" s="46">
        <f t="shared" si="138"/>
        <v>14.882826386286855</v>
      </c>
      <c r="AS50" s="69">
        <f t="shared" si="139"/>
        <v>1.1162119789715142E-2</v>
      </c>
      <c r="AT50" s="42">
        <f t="shared" si="140"/>
        <v>18.349341749006538</v>
      </c>
      <c r="AU50" s="79">
        <f t="shared" si="141"/>
        <v>1.3762006311754902E-2</v>
      </c>
      <c r="AV50" s="83">
        <f t="shared" si="71"/>
        <v>2.3733559498632069E-3</v>
      </c>
      <c r="AW50" s="84">
        <f t="shared" si="72"/>
        <v>1.1979798552603761E-2</v>
      </c>
      <c r="AX50" s="42">
        <f t="shared" si="142"/>
        <v>4.1058732612055629E-2</v>
      </c>
      <c r="AY50" s="43">
        <f t="shared" si="73"/>
        <v>1.1014856351379238E-2</v>
      </c>
      <c r="AZ50" s="85">
        <f t="shared" si="143"/>
        <v>4.1058732612055629E-2</v>
      </c>
      <c r="BA50" s="86">
        <f t="shared" si="74"/>
        <v>1.1014856351379238E-2</v>
      </c>
      <c r="BB50" s="85">
        <f t="shared" si="144"/>
        <v>0</v>
      </c>
      <c r="BC50" s="86">
        <f t="shared" si="75"/>
        <v>0</v>
      </c>
      <c r="BD50" s="85">
        <f t="shared" si="145"/>
        <v>0</v>
      </c>
      <c r="BE50" s="86">
        <f t="shared" si="76"/>
        <v>0</v>
      </c>
      <c r="BF50" s="85">
        <f t="shared" si="146"/>
        <v>0</v>
      </c>
      <c r="BG50" s="86">
        <f t="shared" si="77"/>
        <v>0</v>
      </c>
      <c r="BH50" s="85">
        <f t="shared" si="147"/>
        <v>0</v>
      </c>
      <c r="BI50" s="86">
        <f t="shared" si="78"/>
        <v>0</v>
      </c>
      <c r="BJ50" s="85">
        <f t="shared" si="148"/>
        <v>3.1673879443585777E-3</v>
      </c>
      <c r="BK50" s="207">
        <f t="shared" si="149"/>
        <v>1.927748991722458E-3</v>
      </c>
      <c r="BL50" s="85">
        <f t="shared" si="79"/>
        <v>0.12359546936541772</v>
      </c>
      <c r="BM50" s="176">
        <f t="shared" si="80"/>
        <v>0.12359546936541772</v>
      </c>
      <c r="BN50" s="176">
        <f t="shared" si="81"/>
        <v>0.12359546936541772</v>
      </c>
      <c r="BO50" s="176">
        <f t="shared" si="82"/>
        <v>0.13475758915513286</v>
      </c>
      <c r="BP50" s="86">
        <f t="shared" si="83"/>
        <v>0.13735747567717263</v>
      </c>
      <c r="BQ50" s="211">
        <f t="shared" si="84"/>
        <v>1.5445779312823454E-3</v>
      </c>
      <c r="BR50" s="237">
        <f t="shared" si="150"/>
        <v>2.5000000000000001E-3</v>
      </c>
      <c r="BS50" s="237">
        <f t="shared" si="151"/>
        <v>2.5000000000000001E-3</v>
      </c>
      <c r="BT50" s="237">
        <f t="shared" si="152"/>
        <v>0</v>
      </c>
      <c r="BU50" s="237">
        <f t="shared" si="153"/>
        <v>0</v>
      </c>
      <c r="BV50" s="237">
        <f t="shared" si="154"/>
        <v>0</v>
      </c>
      <c r="BW50" s="237">
        <f t="shared" si="155"/>
        <v>0</v>
      </c>
      <c r="BX50" s="212">
        <f t="shared" si="156"/>
        <v>1.0000000000000002E-4</v>
      </c>
      <c r="BY50" s="238">
        <f t="shared" si="85"/>
        <v>6.644577931282346E-3</v>
      </c>
      <c r="BZ50" s="244">
        <f t="shared" si="86"/>
        <v>1.1032699509159609E-4</v>
      </c>
      <c r="CA50" s="243">
        <f t="shared" si="157"/>
        <v>0.17962822641509435</v>
      </c>
      <c r="CB50" s="243">
        <f t="shared" si="158"/>
        <v>0.23099999999999998</v>
      </c>
      <c r="CC50" s="238">
        <f t="shared" si="87"/>
        <v>0.41073855341018595</v>
      </c>
      <c r="CD50" s="244">
        <f t="shared" si="159"/>
        <v>0.15</v>
      </c>
      <c r="CE50" s="243">
        <f t="shared" si="160"/>
        <v>3.0000000000000002E-2</v>
      </c>
      <c r="CF50" s="243">
        <f t="shared" si="42"/>
        <v>0.15</v>
      </c>
      <c r="CG50" s="243">
        <f t="shared" si="161"/>
        <v>3.0000000000000002E-2</v>
      </c>
      <c r="CH50" s="243">
        <f t="shared" si="44"/>
        <v>0</v>
      </c>
      <c r="CI50" s="243">
        <f t="shared" si="162"/>
        <v>0</v>
      </c>
      <c r="CJ50" s="243">
        <f t="shared" si="46"/>
        <v>0</v>
      </c>
      <c r="CK50" s="243">
        <f t="shared" si="163"/>
        <v>0</v>
      </c>
      <c r="CL50" s="243">
        <f t="shared" si="48"/>
        <v>0</v>
      </c>
      <c r="CM50" s="243">
        <f t="shared" si="164"/>
        <v>0</v>
      </c>
      <c r="CN50" s="243">
        <f t="shared" si="50"/>
        <v>0</v>
      </c>
      <c r="CO50" s="243">
        <f t="shared" si="165"/>
        <v>0</v>
      </c>
      <c r="CP50" s="243">
        <f t="shared" si="52"/>
        <v>0.03</v>
      </c>
      <c r="CQ50" s="243">
        <f t="shared" si="166"/>
        <v>6.0000000000000005E-2</v>
      </c>
      <c r="CR50" s="238">
        <f t="shared" si="167"/>
        <v>0.39</v>
      </c>
      <c r="CS50" s="246">
        <f t="shared" si="168"/>
        <v>0.14157749061641917</v>
      </c>
      <c r="CT50" s="188">
        <f t="shared" si="88"/>
        <v>0.94896062195788744</v>
      </c>
      <c r="CU50" s="206">
        <f t="shared" si="169"/>
        <v>6.9489606219578874</v>
      </c>
      <c r="CV50" s="227">
        <f t="shared" si="170"/>
        <v>0.86343848043126259</v>
      </c>
      <c r="CW50">
        <f t="shared" si="171"/>
        <v>53.368964346349749</v>
      </c>
      <c r="CX50">
        <f t="shared" si="172"/>
        <v>100.0425354875578</v>
      </c>
      <c r="DA50" s="22">
        <v>200000</v>
      </c>
      <c r="DB50" s="22">
        <f t="shared" si="89"/>
        <v>1256637.0614359172</v>
      </c>
      <c r="DC50" s="260">
        <f t="shared" si="90"/>
        <v>-20.563489875418792</v>
      </c>
      <c r="DD50" s="93">
        <f t="shared" si="112"/>
        <v>113.5542649846184</v>
      </c>
      <c r="DE50" s="260">
        <f t="shared" si="113"/>
        <v>-21.183025444320126</v>
      </c>
      <c r="DF50" s="93">
        <f t="shared" si="114"/>
        <v>119.01955899587807</v>
      </c>
      <c r="DG50" s="257">
        <f t="shared" si="115"/>
        <v>-21.5522533353151</v>
      </c>
      <c r="DH50" s="93">
        <f t="shared" si="116"/>
        <v>173.64015815101749</v>
      </c>
      <c r="DI50" s="91">
        <f t="shared" si="96"/>
        <v>-36.376645324281959</v>
      </c>
      <c r="DJ50" s="257">
        <f t="shared" si="97"/>
        <v>96.701108196778762</v>
      </c>
      <c r="DK50" s="92">
        <f t="shared" si="98"/>
        <v>-35.256573768308208</v>
      </c>
      <c r="DL50" s="93">
        <f t="shared" si="99"/>
        <v>96.736910045880748</v>
      </c>
      <c r="DM50" s="260">
        <f t="shared" si="100"/>
        <v>-56.940135199700748</v>
      </c>
      <c r="DN50" s="270">
        <f t="shared" si="101"/>
        <v>-149.74462681860288</v>
      </c>
      <c r="DO50" s="260">
        <f t="shared" si="102"/>
        <v>-57.559670768602089</v>
      </c>
      <c r="DP50" s="267">
        <f t="shared" si="103"/>
        <v>215.72066719265683</v>
      </c>
      <c r="DQ50" s="257">
        <f t="shared" si="104"/>
        <v>-57.92889865959706</v>
      </c>
      <c r="DR50" s="267">
        <f t="shared" si="105"/>
        <v>270.34126634779625</v>
      </c>
      <c r="DS50" s="260">
        <f t="shared" si="106"/>
        <v>-55.820063643726996</v>
      </c>
      <c r="DT50" s="269">
        <f t="shared" si="107"/>
        <v>-149.70882496950085</v>
      </c>
      <c r="DU50" s="260">
        <f t="shared" si="108"/>
        <v>-56.439599212628337</v>
      </c>
      <c r="DV50" s="93">
        <f t="shared" si="109"/>
        <v>215.75646904175881</v>
      </c>
      <c r="DW50" s="257">
        <f t="shared" si="110"/>
        <v>-56.808827103623308</v>
      </c>
      <c r="DX50" s="93">
        <f t="shared" si="111"/>
        <v>270.37706819689822</v>
      </c>
    </row>
    <row r="51" spans="1:128" ht="15.75" thickBot="1" x14ac:dyDescent="0.3">
      <c r="A51" s="12" t="s">
        <v>405</v>
      </c>
      <c r="B51" s="190">
        <f>IF(AND(Vout6&lt;&gt;0,Iout6&lt;&gt;0,Vout6_Ripple&lt;&gt;0),(Iout6*B7)/(Fsw*Vout6_Ripple*(10^-3)),0)</f>
        <v>0</v>
      </c>
      <c r="C51" s="12" t="s">
        <v>351</v>
      </c>
      <c r="D51" s="115"/>
      <c r="E51" s="115"/>
      <c r="F51" s="115"/>
      <c r="G51" s="115"/>
      <c r="H51" s="115"/>
      <c r="I51" s="115"/>
      <c r="J51" s="115"/>
      <c r="L51" s="58">
        <v>47</v>
      </c>
      <c r="M51" s="62">
        <f t="shared" si="117"/>
        <v>45.660000000000004</v>
      </c>
      <c r="N51" s="42">
        <f t="shared" si="118"/>
        <v>1.5695609607814577E-4</v>
      </c>
      <c r="O51" s="19">
        <f t="shared" si="119"/>
        <v>1.4126048647033118E-4</v>
      </c>
      <c r="P51" s="43">
        <f t="shared" si="120"/>
        <v>1.2841862406393745E-4</v>
      </c>
      <c r="Q51" s="60">
        <f t="shared" si="121"/>
        <v>0.16462827866535545</v>
      </c>
      <c r="R51" s="63">
        <f t="shared" si="122"/>
        <v>0.14600671630895021</v>
      </c>
      <c r="S51" s="28">
        <f t="shared" si="123"/>
        <v>0.88688721945360416</v>
      </c>
      <c r="T51" s="12">
        <f t="shared" si="124"/>
        <v>0.30933856806008769</v>
      </c>
      <c r="U51" s="12">
        <f t="shared" si="60"/>
        <v>1.041556503483648</v>
      </c>
      <c r="V51" s="55">
        <f t="shared" si="125"/>
        <v>1.1750492883497465</v>
      </c>
      <c r="W51" s="54">
        <f t="shared" si="61"/>
        <v>0.36166872795186195</v>
      </c>
      <c r="X51" s="55">
        <f t="shared" si="62"/>
        <v>0.33088715232084137</v>
      </c>
      <c r="Y51" s="54">
        <f t="shared" si="126"/>
        <v>0.56245646384128456</v>
      </c>
      <c r="Z51" s="55">
        <f t="shared" si="63"/>
        <v>0.25759905612568196</v>
      </c>
      <c r="AA51" s="54">
        <f t="shared" si="127"/>
        <v>0.56245646384128456</v>
      </c>
      <c r="AB51" s="55">
        <f t="shared" si="64"/>
        <v>0.25759905612568196</v>
      </c>
      <c r="AC51" s="54">
        <f t="shared" si="128"/>
        <v>0</v>
      </c>
      <c r="AD51" s="55">
        <f t="shared" si="65"/>
        <v>0</v>
      </c>
      <c r="AE51" s="54">
        <f t="shared" si="129"/>
        <v>0</v>
      </c>
      <c r="AF51" s="55">
        <f t="shared" si="66"/>
        <v>0</v>
      </c>
      <c r="AG51" s="54">
        <f t="shared" si="130"/>
        <v>0</v>
      </c>
      <c r="AH51" s="55">
        <f t="shared" si="67"/>
        <v>0</v>
      </c>
      <c r="AI51" s="54">
        <f t="shared" si="131"/>
        <v>0</v>
      </c>
      <c r="AJ51" s="177">
        <f t="shared" si="69"/>
        <v>0</v>
      </c>
      <c r="AK51" s="54">
        <f t="shared" si="132"/>
        <v>0.12683502606631733</v>
      </c>
      <c r="AL51" s="55">
        <f t="shared" si="133"/>
        <v>7.8020022027960212E-2</v>
      </c>
      <c r="AM51" s="179">
        <f t="shared" si="134"/>
        <v>2.7099744768404824E-2</v>
      </c>
      <c r="AN51" s="52">
        <f t="shared" si="135"/>
        <v>0</v>
      </c>
      <c r="AO51" s="74">
        <f t="shared" si="136"/>
        <v>0</v>
      </c>
      <c r="AP51" s="78">
        <v>0</v>
      </c>
      <c r="AQ51" s="87">
        <f t="shared" si="137"/>
        <v>0</v>
      </c>
      <c r="AR51" s="46">
        <f t="shared" si="138"/>
        <v>14.996365114369111</v>
      </c>
      <c r="AS51" s="69">
        <f t="shared" si="139"/>
        <v>1.1247273835776832E-2</v>
      </c>
      <c r="AT51" s="42">
        <f t="shared" si="140"/>
        <v>18.478763817102468</v>
      </c>
      <c r="AU51" s="79">
        <f t="shared" si="141"/>
        <v>1.3859072862826852E-2</v>
      </c>
      <c r="AV51" s="83">
        <f t="shared" si="71"/>
        <v>2.2929614836489508E-3</v>
      </c>
      <c r="AW51" s="84">
        <f t="shared" si="72"/>
        <v>1.1776355337442212E-2</v>
      </c>
      <c r="AX51" s="42">
        <f t="shared" si="142"/>
        <v>4.1058732612055629E-2</v>
      </c>
      <c r="AY51" s="43">
        <f t="shared" si="73"/>
        <v>1.089818223361925E-2</v>
      </c>
      <c r="AZ51" s="85">
        <f t="shared" si="143"/>
        <v>4.1058732612055629E-2</v>
      </c>
      <c r="BA51" s="86">
        <f t="shared" si="74"/>
        <v>1.089818223361925E-2</v>
      </c>
      <c r="BB51" s="85">
        <f t="shared" si="144"/>
        <v>0</v>
      </c>
      <c r="BC51" s="86">
        <f t="shared" si="75"/>
        <v>0</v>
      </c>
      <c r="BD51" s="85">
        <f t="shared" si="145"/>
        <v>0</v>
      </c>
      <c r="BE51" s="86">
        <f t="shared" si="76"/>
        <v>0</v>
      </c>
      <c r="BF51" s="85">
        <f t="shared" si="146"/>
        <v>0</v>
      </c>
      <c r="BG51" s="86">
        <f t="shared" si="77"/>
        <v>0</v>
      </c>
      <c r="BH51" s="85">
        <f t="shared" si="147"/>
        <v>0</v>
      </c>
      <c r="BI51" s="86">
        <f t="shared" si="78"/>
        <v>0</v>
      </c>
      <c r="BJ51" s="85">
        <f t="shared" si="148"/>
        <v>3.1673879443585777E-3</v>
      </c>
      <c r="BK51" s="207">
        <f t="shared" si="149"/>
        <v>1.9280282657902457E-3</v>
      </c>
      <c r="BL51" s="85">
        <f t="shared" si="79"/>
        <v>0.12307856272258975</v>
      </c>
      <c r="BM51" s="176">
        <f t="shared" si="80"/>
        <v>0.12307856272258975</v>
      </c>
      <c r="BN51" s="176">
        <f t="shared" si="81"/>
        <v>0.12307856272258975</v>
      </c>
      <c r="BO51" s="176">
        <f t="shared" si="82"/>
        <v>0.13432583655836658</v>
      </c>
      <c r="BP51" s="86">
        <f t="shared" si="83"/>
        <v>0.13693763558541661</v>
      </c>
      <c r="BQ51" s="211">
        <f t="shared" si="84"/>
        <v>1.4922572845125588E-3</v>
      </c>
      <c r="BR51" s="237">
        <f t="shared" si="150"/>
        <v>2.5000000000000001E-3</v>
      </c>
      <c r="BS51" s="237">
        <f t="shared" si="151"/>
        <v>2.5000000000000001E-3</v>
      </c>
      <c r="BT51" s="237">
        <f t="shared" si="152"/>
        <v>0</v>
      </c>
      <c r="BU51" s="237">
        <f t="shared" si="153"/>
        <v>0</v>
      </c>
      <c r="BV51" s="237">
        <f t="shared" si="154"/>
        <v>0</v>
      </c>
      <c r="BW51" s="237">
        <f t="shared" si="155"/>
        <v>0</v>
      </c>
      <c r="BX51" s="212">
        <f t="shared" si="156"/>
        <v>1.0000000000000002E-4</v>
      </c>
      <c r="BY51" s="238">
        <f t="shared" si="85"/>
        <v>6.5922572845125591E-3</v>
      </c>
      <c r="BZ51" s="244">
        <f t="shared" si="86"/>
        <v>1.0658980603661134E-4</v>
      </c>
      <c r="CA51" s="243">
        <f t="shared" si="157"/>
        <v>0.18222871698113208</v>
      </c>
      <c r="CB51" s="243">
        <f t="shared" si="158"/>
        <v>0.23099999999999998</v>
      </c>
      <c r="CC51" s="238">
        <f t="shared" si="87"/>
        <v>0.41333530678716868</v>
      </c>
      <c r="CD51" s="244">
        <f t="shared" si="159"/>
        <v>0.15</v>
      </c>
      <c r="CE51" s="243">
        <f t="shared" si="160"/>
        <v>3.0000000000000002E-2</v>
      </c>
      <c r="CF51" s="243">
        <f t="shared" si="42"/>
        <v>0.15</v>
      </c>
      <c r="CG51" s="243">
        <f t="shared" si="161"/>
        <v>3.0000000000000002E-2</v>
      </c>
      <c r="CH51" s="243">
        <f t="shared" si="44"/>
        <v>0</v>
      </c>
      <c r="CI51" s="243">
        <f t="shared" si="162"/>
        <v>0</v>
      </c>
      <c r="CJ51" s="243">
        <f t="shared" si="46"/>
        <v>0</v>
      </c>
      <c r="CK51" s="243">
        <f t="shared" si="163"/>
        <v>0</v>
      </c>
      <c r="CL51" s="243">
        <f t="shared" si="48"/>
        <v>0</v>
      </c>
      <c r="CM51" s="243">
        <f t="shared" si="164"/>
        <v>0</v>
      </c>
      <c r="CN51" s="243">
        <f t="shared" si="50"/>
        <v>0</v>
      </c>
      <c r="CO51" s="243">
        <f t="shared" si="165"/>
        <v>0</v>
      </c>
      <c r="CP51" s="243">
        <f t="shared" si="52"/>
        <v>0.03</v>
      </c>
      <c r="CQ51" s="243">
        <f t="shared" si="166"/>
        <v>6.0000000000000005E-2</v>
      </c>
      <c r="CR51" s="238">
        <f t="shared" si="167"/>
        <v>0.39</v>
      </c>
      <c r="CS51" s="246">
        <f t="shared" si="168"/>
        <v>0.14073971334764979</v>
      </c>
      <c r="CT51" s="188">
        <f t="shared" si="88"/>
        <v>0.95066727741933099</v>
      </c>
      <c r="CU51" s="206">
        <f t="shared" si="169"/>
        <v>6.9506672774193312</v>
      </c>
      <c r="CV51" s="227">
        <f t="shared" si="170"/>
        <v>0.86322647316067491</v>
      </c>
      <c r="CW51">
        <f t="shared" si="171"/>
        <v>54.14896434634975</v>
      </c>
      <c r="CX51">
        <f t="shared" si="172"/>
        <v>100.72878723027841</v>
      </c>
      <c r="DA51" s="22">
        <v>300000</v>
      </c>
      <c r="DB51" s="22">
        <f t="shared" si="89"/>
        <v>1884955.5921538759</v>
      </c>
      <c r="DC51" s="260">
        <f t="shared" si="90"/>
        <v>-24.002503691254539</v>
      </c>
      <c r="DD51" s="93">
        <f t="shared" si="112"/>
        <v>111.64159852514587</v>
      </c>
      <c r="DE51" s="260">
        <f t="shared" si="113"/>
        <v>-24.665941721435381</v>
      </c>
      <c r="DF51" s="93">
        <f t="shared" si="114"/>
        <v>115.34520843516495</v>
      </c>
      <c r="DG51" s="257">
        <f t="shared" si="115"/>
        <v>-26.385251096105264</v>
      </c>
      <c r="DH51" s="93">
        <f t="shared" si="116"/>
        <v>157.96587358696951</v>
      </c>
      <c r="DI51" s="91">
        <f t="shared" si="96"/>
        <v>-39.864084493822737</v>
      </c>
      <c r="DJ51" s="257">
        <f t="shared" si="97"/>
        <v>94.479485561898798</v>
      </c>
      <c r="DK51" s="92">
        <f t="shared" si="98"/>
        <v>-38.743701712123467</v>
      </c>
      <c r="DL51" s="93">
        <f t="shared" si="99"/>
        <v>94.503517574512983</v>
      </c>
      <c r="DM51" s="260">
        <f t="shared" si="100"/>
        <v>-63.866588185077276</v>
      </c>
      <c r="DN51" s="270">
        <f t="shared" si="101"/>
        <v>-153.87891591295534</v>
      </c>
      <c r="DO51" s="260">
        <f t="shared" si="102"/>
        <v>-64.530026215258118</v>
      </c>
      <c r="DP51" s="267">
        <f t="shared" si="103"/>
        <v>209.82469399706375</v>
      </c>
      <c r="DQ51" s="257">
        <f t="shared" si="104"/>
        <v>-66.249335589927995</v>
      </c>
      <c r="DR51" s="267">
        <f t="shared" si="105"/>
        <v>252.44535914886831</v>
      </c>
      <c r="DS51" s="260">
        <f t="shared" si="106"/>
        <v>-62.746205403378006</v>
      </c>
      <c r="DT51" s="269">
        <f t="shared" si="107"/>
        <v>-153.85488390034109</v>
      </c>
      <c r="DU51" s="260">
        <f t="shared" si="108"/>
        <v>-63.409643433558848</v>
      </c>
      <c r="DV51" s="93">
        <f t="shared" si="109"/>
        <v>209.84872600967793</v>
      </c>
      <c r="DW51" s="257">
        <f t="shared" si="110"/>
        <v>-65.128952808228732</v>
      </c>
      <c r="DX51" s="93">
        <f t="shared" si="111"/>
        <v>252.46939116148249</v>
      </c>
    </row>
    <row r="52" spans="1:128" ht="15.75" thickBot="1" x14ac:dyDescent="0.3">
      <c r="A52" s="12" t="s">
        <v>406</v>
      </c>
      <c r="B52" s="190">
        <f>COUT6_FlyB_CCM</f>
        <v>0</v>
      </c>
      <c r="C52" s="12" t="s">
        <v>351</v>
      </c>
      <c r="D52" s="115"/>
      <c r="E52" s="115"/>
      <c r="F52" s="115"/>
      <c r="G52" s="115"/>
      <c r="H52" s="115"/>
      <c r="I52" s="115"/>
      <c r="J52" s="115"/>
      <c r="L52" s="58">
        <v>48</v>
      </c>
      <c r="M52" s="62">
        <f t="shared" si="117"/>
        <v>46.44</v>
      </c>
      <c r="N52" s="42">
        <f t="shared" si="118"/>
        <v>1.5782770006612666E-4</v>
      </c>
      <c r="O52" s="19">
        <f t="shared" si="119"/>
        <v>1.4204493005951402E-4</v>
      </c>
      <c r="P52" s="43">
        <f t="shared" si="120"/>
        <v>1.2913175459955821E-4</v>
      </c>
      <c r="Q52" s="60">
        <f t="shared" si="121"/>
        <v>0.16231200900617279</v>
      </c>
      <c r="R52" s="63">
        <f t="shared" si="122"/>
        <v>0.1435544071202986</v>
      </c>
      <c r="S52" s="28">
        <f t="shared" si="123"/>
        <v>0.88443491026495247</v>
      </c>
      <c r="T52" s="12">
        <f t="shared" si="124"/>
        <v>0.3101962838784636</v>
      </c>
      <c r="U52" s="12">
        <f t="shared" si="60"/>
        <v>1.0395330522041843</v>
      </c>
      <c r="V52" s="55">
        <f t="shared" si="125"/>
        <v>1.1708111547972573</v>
      </c>
      <c r="W52" s="54">
        <f t="shared" si="61"/>
        <v>0.35814246387865745</v>
      </c>
      <c r="X52" s="55">
        <f t="shared" si="62"/>
        <v>0.32811302416913446</v>
      </c>
      <c r="Y52" s="54">
        <f t="shared" si="126"/>
        <v>0.5618472413925607</v>
      </c>
      <c r="Z52" s="55">
        <f t="shared" si="63"/>
        <v>0.25626611687936895</v>
      </c>
      <c r="AA52" s="54">
        <f t="shared" si="127"/>
        <v>0.5618472413925607</v>
      </c>
      <c r="AB52" s="55">
        <f t="shared" si="64"/>
        <v>0.25626611687936895</v>
      </c>
      <c r="AC52" s="54">
        <f t="shared" si="128"/>
        <v>0</v>
      </c>
      <c r="AD52" s="55">
        <f t="shared" si="65"/>
        <v>0</v>
      </c>
      <c r="AE52" s="54">
        <f t="shared" si="129"/>
        <v>0</v>
      </c>
      <c r="AF52" s="55">
        <f t="shared" si="66"/>
        <v>0</v>
      </c>
      <c r="AG52" s="54">
        <f t="shared" si="130"/>
        <v>0</v>
      </c>
      <c r="AH52" s="55">
        <f t="shared" si="67"/>
        <v>0</v>
      </c>
      <c r="AI52" s="54">
        <f t="shared" si="131"/>
        <v>0</v>
      </c>
      <c r="AJ52" s="177">
        <f t="shared" si="69"/>
        <v>0</v>
      </c>
      <c r="AK52" s="54">
        <f t="shared" si="132"/>
        <v>0.12683989954429215</v>
      </c>
      <c r="AL52" s="55">
        <f t="shared" si="133"/>
        <v>7.8027944458419013E-2</v>
      </c>
      <c r="AM52" s="179">
        <f t="shared" si="134"/>
        <v>2.7174885349508487E-2</v>
      </c>
      <c r="AN52" s="52">
        <f t="shared" si="135"/>
        <v>0</v>
      </c>
      <c r="AO52" s="74">
        <f t="shared" si="136"/>
        <v>0</v>
      </c>
      <c r="AP52" s="78">
        <v>0</v>
      </c>
      <c r="AQ52" s="87">
        <f t="shared" si="137"/>
        <v>0</v>
      </c>
      <c r="AR52" s="46">
        <f t="shared" si="138"/>
        <v>15.107225382684623</v>
      </c>
      <c r="AS52" s="69">
        <f t="shared" si="139"/>
        <v>1.1330419037013467E-2</v>
      </c>
      <c r="AT52" s="42">
        <f t="shared" si="140"/>
        <v>18.605061653535859</v>
      </c>
      <c r="AU52" s="79">
        <f t="shared" si="141"/>
        <v>1.3953796240151896E-2</v>
      </c>
      <c r="AV52" s="83">
        <f t="shared" si="71"/>
        <v>2.2165837846487998E-3</v>
      </c>
      <c r="AW52" s="84">
        <f t="shared" si="72"/>
        <v>1.1579719286997518E-2</v>
      </c>
      <c r="AX52" s="42">
        <f t="shared" si="142"/>
        <v>4.1058732612055629E-2</v>
      </c>
      <c r="AY52" s="43">
        <f t="shared" si="73"/>
        <v>1.0785689344509014E-2</v>
      </c>
      <c r="AZ52" s="85">
        <f t="shared" si="143"/>
        <v>4.1058732612055629E-2</v>
      </c>
      <c r="BA52" s="86">
        <f t="shared" si="74"/>
        <v>1.0785689344509014E-2</v>
      </c>
      <c r="BB52" s="85">
        <f t="shared" si="144"/>
        <v>0</v>
      </c>
      <c r="BC52" s="86">
        <f t="shared" si="75"/>
        <v>0</v>
      </c>
      <c r="BD52" s="85">
        <f t="shared" si="145"/>
        <v>0</v>
      </c>
      <c r="BE52" s="86">
        <f t="shared" si="76"/>
        <v>0</v>
      </c>
      <c r="BF52" s="85">
        <f t="shared" si="146"/>
        <v>0</v>
      </c>
      <c r="BG52" s="86">
        <f t="shared" si="77"/>
        <v>0</v>
      </c>
      <c r="BH52" s="85">
        <f t="shared" si="147"/>
        <v>0</v>
      </c>
      <c r="BI52" s="86">
        <f t="shared" si="78"/>
        <v>0</v>
      </c>
      <c r="BJ52" s="85">
        <f t="shared" si="148"/>
        <v>3.1673879443585777E-3</v>
      </c>
      <c r="BK52" s="207">
        <f t="shared" si="149"/>
        <v>1.9284198433618337E-3</v>
      </c>
      <c r="BL52" s="85">
        <f t="shared" si="79"/>
        <v>0.12258095477249602</v>
      </c>
      <c r="BM52" s="176">
        <f t="shared" si="80"/>
        <v>0.12258095477249602</v>
      </c>
      <c r="BN52" s="176">
        <f t="shared" si="81"/>
        <v>0.12258095477249602</v>
      </c>
      <c r="BO52" s="176">
        <f t="shared" si="82"/>
        <v>0.13391137380950949</v>
      </c>
      <c r="BP52" s="86">
        <f t="shared" si="83"/>
        <v>0.13653475101264792</v>
      </c>
      <c r="BQ52" s="211">
        <f t="shared" si="84"/>
        <v>1.4425507462562308E-3</v>
      </c>
      <c r="BR52" s="237">
        <f t="shared" si="150"/>
        <v>2.5000000000000001E-3</v>
      </c>
      <c r="BS52" s="237">
        <f t="shared" si="151"/>
        <v>2.5000000000000001E-3</v>
      </c>
      <c r="BT52" s="237">
        <f t="shared" si="152"/>
        <v>0</v>
      </c>
      <c r="BU52" s="237">
        <f t="shared" si="153"/>
        <v>0</v>
      </c>
      <c r="BV52" s="237">
        <f t="shared" si="154"/>
        <v>0</v>
      </c>
      <c r="BW52" s="237">
        <f t="shared" si="155"/>
        <v>0</v>
      </c>
      <c r="BX52" s="212">
        <f t="shared" si="156"/>
        <v>1.0000000000000002E-4</v>
      </c>
      <c r="BY52" s="238">
        <f t="shared" si="85"/>
        <v>6.5425507462562307E-3</v>
      </c>
      <c r="BZ52" s="244">
        <f t="shared" si="86"/>
        <v>1.030393390183022E-4</v>
      </c>
      <c r="CA52" s="243">
        <f t="shared" si="157"/>
        <v>0.18482920754716978</v>
      </c>
      <c r="CB52" s="243">
        <f t="shared" si="158"/>
        <v>0.23099999999999998</v>
      </c>
      <c r="CC52" s="238">
        <f t="shared" si="87"/>
        <v>0.41593224688618807</v>
      </c>
      <c r="CD52" s="244">
        <f t="shared" si="159"/>
        <v>0.15</v>
      </c>
      <c r="CE52" s="243">
        <f t="shared" si="160"/>
        <v>3.0000000000000002E-2</v>
      </c>
      <c r="CF52" s="243">
        <f t="shared" si="42"/>
        <v>0.15</v>
      </c>
      <c r="CG52" s="243">
        <f t="shared" si="161"/>
        <v>3.0000000000000002E-2</v>
      </c>
      <c r="CH52" s="243">
        <f t="shared" si="44"/>
        <v>0</v>
      </c>
      <c r="CI52" s="243">
        <f t="shared" si="162"/>
        <v>0</v>
      </c>
      <c r="CJ52" s="243">
        <f t="shared" si="46"/>
        <v>0</v>
      </c>
      <c r="CK52" s="243">
        <f t="shared" si="163"/>
        <v>0</v>
      </c>
      <c r="CL52" s="243">
        <f t="shared" si="48"/>
        <v>0</v>
      </c>
      <c r="CM52" s="243">
        <f t="shared" si="164"/>
        <v>0</v>
      </c>
      <c r="CN52" s="243">
        <f t="shared" si="50"/>
        <v>0</v>
      </c>
      <c r="CO52" s="243">
        <f t="shared" si="165"/>
        <v>0</v>
      </c>
      <c r="CP52" s="243">
        <f t="shared" si="52"/>
        <v>0.03</v>
      </c>
      <c r="CQ52" s="243">
        <f t="shared" si="166"/>
        <v>6.0000000000000005E-2</v>
      </c>
      <c r="CR52" s="238">
        <f t="shared" si="167"/>
        <v>0.39</v>
      </c>
      <c r="CS52" s="246">
        <f t="shared" si="168"/>
        <v>0.13991809870353727</v>
      </c>
      <c r="CT52" s="188">
        <f t="shared" si="88"/>
        <v>0.95239289633598156</v>
      </c>
      <c r="CU52" s="206">
        <f t="shared" si="169"/>
        <v>6.9523928963359811</v>
      </c>
      <c r="CV52" s="227">
        <f t="shared" si="170"/>
        <v>0.86301221600437639</v>
      </c>
      <c r="CW52">
        <f t="shared" si="171"/>
        <v>54.928964346349744</v>
      </c>
      <c r="CX52">
        <f t="shared" si="172"/>
        <v>101.41829573807762</v>
      </c>
      <c r="DA52" s="22">
        <v>400000</v>
      </c>
      <c r="DB52" s="22">
        <f t="shared" si="89"/>
        <v>2513274.1228718343</v>
      </c>
      <c r="DC52" s="260">
        <f t="shared" si="90"/>
        <v>-26.38717398069538</v>
      </c>
      <c r="DD52" s="93">
        <f t="shared" si="112"/>
        <v>112.34326139577951</v>
      </c>
      <c r="DE52" s="260">
        <f t="shared" si="113"/>
        <v>-27.066401307351878</v>
      </c>
      <c r="DF52" s="93">
        <f t="shared" si="114"/>
        <v>115.13711635771949</v>
      </c>
      <c r="DG52" s="257">
        <f t="shared" si="115"/>
        <v>-29.485598108059499</v>
      </c>
      <c r="DH52" s="93">
        <f t="shared" si="116"/>
        <v>149.46876757188701</v>
      </c>
      <c r="DI52" s="91">
        <f t="shared" si="96"/>
        <v>-42.350759454575872</v>
      </c>
      <c r="DJ52" s="257">
        <f t="shared" si="97"/>
        <v>93.362805653289016</v>
      </c>
      <c r="DK52" s="92">
        <f t="shared" si="98"/>
        <v>-41.2302665697257</v>
      </c>
      <c r="DL52" s="93">
        <f t="shared" si="99"/>
        <v>93.380873208338215</v>
      </c>
      <c r="DM52" s="260">
        <f t="shared" si="100"/>
        <v>-68.737933435271259</v>
      </c>
      <c r="DN52" s="270">
        <f t="shared" si="101"/>
        <v>-154.29393295093143</v>
      </c>
      <c r="DO52" s="260">
        <f t="shared" si="102"/>
        <v>-69.417160761927747</v>
      </c>
      <c r="DP52" s="267">
        <f t="shared" si="103"/>
        <v>208.49992201100849</v>
      </c>
      <c r="DQ52" s="257">
        <f t="shared" si="104"/>
        <v>-71.836357562635371</v>
      </c>
      <c r="DR52" s="267">
        <f t="shared" si="105"/>
        <v>242.83157322517604</v>
      </c>
      <c r="DS52" s="260">
        <f t="shared" si="106"/>
        <v>-67.61744055042108</v>
      </c>
      <c r="DT52" s="269">
        <f t="shared" si="107"/>
        <v>-154.27586539588225</v>
      </c>
      <c r="DU52" s="260">
        <f t="shared" si="108"/>
        <v>-68.296667877077581</v>
      </c>
      <c r="DV52" s="93">
        <f t="shared" si="109"/>
        <v>208.51798956605771</v>
      </c>
      <c r="DW52" s="257">
        <f t="shared" si="110"/>
        <v>-70.715864677785191</v>
      </c>
      <c r="DX52" s="93">
        <f t="shared" si="111"/>
        <v>242.84964078022523</v>
      </c>
    </row>
    <row r="53" spans="1:128" ht="15.75" thickBot="1" x14ac:dyDescent="0.3">
      <c r="A53" s="12" t="s">
        <v>410</v>
      </c>
      <c r="B53" s="190">
        <f>IF(AND(VOUTAUX&lt;&gt;0,IoutAux&lt;&gt;0,VoutAUX_Ripple&lt;&gt;0),(IoutAux*B7)/(Fsw*VoutAUX_Ripple*(10^-3)),0)</f>
        <v>3.3330188975882783E-6</v>
      </c>
      <c r="C53" s="12" t="s">
        <v>351</v>
      </c>
      <c r="L53" s="58">
        <v>49</v>
      </c>
      <c r="M53" s="62">
        <f t="shared" si="117"/>
        <v>47.22</v>
      </c>
      <c r="N53" s="42">
        <f t="shared" si="118"/>
        <v>1.5867743180309144E-4</v>
      </c>
      <c r="O53" s="19">
        <f t="shared" si="119"/>
        <v>1.4280968862278231E-4</v>
      </c>
      <c r="P53" s="43">
        <f t="shared" si="120"/>
        <v>1.2982698965707481E-4</v>
      </c>
      <c r="Q53" s="60">
        <f t="shared" si="121"/>
        <v>0.16006001344504114</v>
      </c>
      <c r="R53" s="63">
        <f t="shared" si="122"/>
        <v>0.14118311449950588</v>
      </c>
      <c r="S53" s="28">
        <f t="shared" si="123"/>
        <v>0.88206361764415986</v>
      </c>
      <c r="T53" s="12">
        <f t="shared" si="124"/>
        <v>0.31103019896604295</v>
      </c>
      <c r="U53" s="12">
        <f t="shared" si="60"/>
        <v>1.0375787171271813</v>
      </c>
      <c r="V53" s="55">
        <f t="shared" si="125"/>
        <v>1.166698039406971</v>
      </c>
      <c r="W53" s="54">
        <f t="shared" si="61"/>
        <v>0.35471514815214911</v>
      </c>
      <c r="X53" s="55">
        <f t="shared" si="62"/>
        <v>0.32540768968913519</v>
      </c>
      <c r="Y53" s="54">
        <f t="shared" si="126"/>
        <v>0.56125886351429577</v>
      </c>
      <c r="Z53" s="55">
        <f t="shared" si="63"/>
        <v>0.25497355132122801</v>
      </c>
      <c r="AA53" s="54">
        <f t="shared" si="127"/>
        <v>0.56125886351429577</v>
      </c>
      <c r="AB53" s="55">
        <f t="shared" si="64"/>
        <v>0.25497355132122801</v>
      </c>
      <c r="AC53" s="54">
        <f t="shared" si="128"/>
        <v>0</v>
      </c>
      <c r="AD53" s="55">
        <f t="shared" si="65"/>
        <v>0</v>
      </c>
      <c r="AE53" s="54">
        <f t="shared" si="129"/>
        <v>0</v>
      </c>
      <c r="AF53" s="55">
        <f t="shared" si="66"/>
        <v>0</v>
      </c>
      <c r="AG53" s="54">
        <f t="shared" si="130"/>
        <v>0</v>
      </c>
      <c r="AH53" s="55">
        <f t="shared" si="67"/>
        <v>0</v>
      </c>
      <c r="AI53" s="54">
        <f t="shared" si="131"/>
        <v>0</v>
      </c>
      <c r="AJ53" s="177">
        <f t="shared" si="69"/>
        <v>0</v>
      </c>
      <c r="AK53" s="54">
        <f t="shared" si="132"/>
        <v>0.12684604712782302</v>
      </c>
      <c r="AL53" s="55">
        <f t="shared" si="133"/>
        <v>7.8037937389156417E-2</v>
      </c>
      <c r="AM53" s="179">
        <f t="shared" si="134"/>
        <v>2.7247940856856456E-2</v>
      </c>
      <c r="AN53" s="52">
        <f t="shared" si="135"/>
        <v>0</v>
      </c>
      <c r="AO53" s="74">
        <f t="shared" si="136"/>
        <v>0</v>
      </c>
      <c r="AP53" s="78">
        <v>0</v>
      </c>
      <c r="AQ53" s="87">
        <f t="shared" si="137"/>
        <v>0</v>
      </c>
      <c r="AR53" s="46">
        <f t="shared" si="138"/>
        <v>15.215498372941154</v>
      </c>
      <c r="AS53" s="69">
        <f t="shared" si="139"/>
        <v>1.1411623779705865E-2</v>
      </c>
      <c r="AT53" s="42">
        <f t="shared" si="140"/>
        <v>18.728344676915761</v>
      </c>
      <c r="AU53" s="79">
        <f t="shared" si="141"/>
        <v>1.404625850768682E-2</v>
      </c>
      <c r="AV53" s="83">
        <f t="shared" si="71"/>
        <v>2.1439596547006136E-3</v>
      </c>
      <c r="AW53" s="84">
        <f t="shared" si="72"/>
        <v>1.138955392378607E-2</v>
      </c>
      <c r="AX53" s="42">
        <f t="shared" si="142"/>
        <v>4.1058732612055629E-2</v>
      </c>
      <c r="AY53" s="43">
        <f t="shared" si="73"/>
        <v>1.067716113085489E-2</v>
      </c>
      <c r="AZ53" s="85">
        <f t="shared" si="143"/>
        <v>4.1058732612055629E-2</v>
      </c>
      <c r="BA53" s="86">
        <f t="shared" si="74"/>
        <v>1.067716113085489E-2</v>
      </c>
      <c r="BB53" s="85">
        <f t="shared" si="144"/>
        <v>0</v>
      </c>
      <c r="BC53" s="86">
        <f t="shared" si="75"/>
        <v>0</v>
      </c>
      <c r="BD53" s="85">
        <f t="shared" si="145"/>
        <v>0</v>
      </c>
      <c r="BE53" s="86">
        <f t="shared" si="76"/>
        <v>0</v>
      </c>
      <c r="BF53" s="85">
        <f t="shared" si="146"/>
        <v>0</v>
      </c>
      <c r="BG53" s="86">
        <f t="shared" si="77"/>
        <v>0</v>
      </c>
      <c r="BH53" s="85">
        <f t="shared" si="147"/>
        <v>0</v>
      </c>
      <c r="BI53" s="86">
        <f t="shared" si="78"/>
        <v>0</v>
      </c>
      <c r="BJ53" s="85">
        <f t="shared" si="148"/>
        <v>3.1673879443585777E-3</v>
      </c>
      <c r="BK53" s="207">
        <f t="shared" si="149"/>
        <v>1.9289138151058916E-3</v>
      </c>
      <c r="BL53" s="85">
        <f t="shared" si="79"/>
        <v>0.12210160282377218</v>
      </c>
      <c r="BM53" s="176">
        <f t="shared" si="80"/>
        <v>0.12210160282377218</v>
      </c>
      <c r="BN53" s="176">
        <f t="shared" si="81"/>
        <v>0.12210160282377218</v>
      </c>
      <c r="BO53" s="176">
        <f t="shared" si="82"/>
        <v>0.13351322660347803</v>
      </c>
      <c r="BP53" s="86">
        <f t="shared" si="83"/>
        <v>0.13614786133145901</v>
      </c>
      <c r="BQ53" s="211">
        <f t="shared" si="84"/>
        <v>1.3952870273846413E-3</v>
      </c>
      <c r="BR53" s="237">
        <f t="shared" si="150"/>
        <v>2.5000000000000001E-3</v>
      </c>
      <c r="BS53" s="237">
        <f t="shared" si="151"/>
        <v>2.5000000000000001E-3</v>
      </c>
      <c r="BT53" s="237">
        <f t="shared" si="152"/>
        <v>0</v>
      </c>
      <c r="BU53" s="237">
        <f t="shared" si="153"/>
        <v>0</v>
      </c>
      <c r="BV53" s="237">
        <f t="shared" si="154"/>
        <v>0</v>
      </c>
      <c r="BW53" s="237">
        <f t="shared" si="155"/>
        <v>0</v>
      </c>
      <c r="BX53" s="212">
        <f t="shared" si="156"/>
        <v>1.0000000000000002E-4</v>
      </c>
      <c r="BY53" s="238">
        <f t="shared" si="85"/>
        <v>6.4952870273846412E-3</v>
      </c>
      <c r="BZ53" s="244">
        <f t="shared" si="86"/>
        <v>9.9663359098902928E-5</v>
      </c>
      <c r="CA53" s="243">
        <f t="shared" si="157"/>
        <v>0.18742969811320753</v>
      </c>
      <c r="CB53" s="243">
        <f t="shared" si="158"/>
        <v>0.23099999999999998</v>
      </c>
      <c r="CC53" s="238">
        <f t="shared" si="87"/>
        <v>0.4185293614723064</v>
      </c>
      <c r="CD53" s="244">
        <f t="shared" si="159"/>
        <v>0.15</v>
      </c>
      <c r="CE53" s="243">
        <f t="shared" si="160"/>
        <v>3.0000000000000002E-2</v>
      </c>
      <c r="CF53" s="243">
        <f t="shared" si="42"/>
        <v>0.15</v>
      </c>
      <c r="CG53" s="243">
        <f t="shared" si="161"/>
        <v>3.0000000000000002E-2</v>
      </c>
      <c r="CH53" s="243">
        <f t="shared" si="44"/>
        <v>0</v>
      </c>
      <c r="CI53" s="243">
        <f t="shared" si="162"/>
        <v>0</v>
      </c>
      <c r="CJ53" s="243">
        <f t="shared" si="46"/>
        <v>0</v>
      </c>
      <c r="CK53" s="243">
        <f t="shared" si="163"/>
        <v>0</v>
      </c>
      <c r="CL53" s="243">
        <f t="shared" si="48"/>
        <v>0</v>
      </c>
      <c r="CM53" s="243">
        <f t="shared" si="164"/>
        <v>0</v>
      </c>
      <c r="CN53" s="243">
        <f t="shared" si="50"/>
        <v>0</v>
      </c>
      <c r="CO53" s="243">
        <f t="shared" si="165"/>
        <v>0</v>
      </c>
      <c r="CP53" s="243">
        <f t="shared" si="52"/>
        <v>0.03</v>
      </c>
      <c r="CQ53" s="243">
        <f t="shared" si="166"/>
        <v>6.0000000000000005E-2</v>
      </c>
      <c r="CR53" s="238">
        <f t="shared" si="167"/>
        <v>0.39</v>
      </c>
      <c r="CS53" s="246">
        <f t="shared" si="168"/>
        <v>0.13911123794062566</v>
      </c>
      <c r="CT53" s="188">
        <f t="shared" si="88"/>
        <v>0.95413588644031666</v>
      </c>
      <c r="CU53" s="206">
        <f t="shared" si="169"/>
        <v>6.9541358864403167</v>
      </c>
      <c r="CV53" s="227">
        <f t="shared" si="170"/>
        <v>0.86279590994177136</v>
      </c>
      <c r="CW53">
        <f t="shared" si="171"/>
        <v>55.708964346349745</v>
      </c>
      <c r="CX53">
        <f t="shared" si="172"/>
        <v>102.11089521641779</v>
      </c>
      <c r="DA53" s="22">
        <v>500000</v>
      </c>
      <c r="DB53" s="22">
        <f t="shared" si="89"/>
        <v>3141592.653589793</v>
      </c>
      <c r="DC53" s="260">
        <f t="shared" si="90"/>
        <v>-28.182735295386401</v>
      </c>
      <c r="DD53" s="93">
        <f t="shared" si="112"/>
        <v>114.03279678678618</v>
      </c>
      <c r="DE53" s="260">
        <f t="shared" si="113"/>
        <v>-28.869347487688213</v>
      </c>
      <c r="DF53" s="93">
        <f t="shared" si="114"/>
        <v>116.27391431794568</v>
      </c>
      <c r="DG53" s="257">
        <f t="shared" si="115"/>
        <v>-31.679407312624853</v>
      </c>
      <c r="DH53" s="93">
        <f t="shared" si="116"/>
        <v>144.79247103622154</v>
      </c>
      <c r="DI53" s="91">
        <f t="shared" si="96"/>
        <v>-44.283347805979034</v>
      </c>
      <c r="DJ53" s="257">
        <f t="shared" si="97"/>
        <v>92.691429180288452</v>
      </c>
      <c r="DK53" s="92">
        <f t="shared" si="98"/>
        <v>-43.162803750486134</v>
      </c>
      <c r="DL53" s="93">
        <f t="shared" si="99"/>
        <v>92.705899414854798</v>
      </c>
      <c r="DM53" s="260">
        <f t="shared" si="100"/>
        <v>-72.466083101365427</v>
      </c>
      <c r="DN53" s="270">
        <f t="shared" si="101"/>
        <v>-153.27577403292537</v>
      </c>
      <c r="DO53" s="260">
        <f t="shared" si="102"/>
        <v>-73.15269529366725</v>
      </c>
      <c r="DP53" s="267">
        <f t="shared" si="103"/>
        <v>208.96534349823412</v>
      </c>
      <c r="DQ53" s="257">
        <f t="shared" si="104"/>
        <v>-75.962755118603894</v>
      </c>
      <c r="DR53" s="267">
        <f t="shared" si="105"/>
        <v>237.48390021650999</v>
      </c>
      <c r="DS53" s="260">
        <f t="shared" si="106"/>
        <v>-71.345539045872528</v>
      </c>
      <c r="DT53" s="269">
        <f t="shared" si="107"/>
        <v>-153.26130379835897</v>
      </c>
      <c r="DU53" s="260">
        <f t="shared" si="108"/>
        <v>-72.03215123817435</v>
      </c>
      <c r="DV53" s="93">
        <f t="shared" si="109"/>
        <v>208.97981373280049</v>
      </c>
      <c r="DW53" s="257">
        <f t="shared" si="110"/>
        <v>-74.842211063110994</v>
      </c>
      <c r="DX53" s="93">
        <f t="shared" si="111"/>
        <v>237.49837045107634</v>
      </c>
    </row>
    <row r="54" spans="1:128" ht="15.75" thickBot="1" x14ac:dyDescent="0.3">
      <c r="A54" s="12" t="s">
        <v>411</v>
      </c>
      <c r="B54" s="190">
        <f>COUTAUX_FlyB_CCM</f>
        <v>3.9999999999999998E-6</v>
      </c>
      <c r="C54" s="12" t="s">
        <v>351</v>
      </c>
      <c r="L54" s="58">
        <v>50</v>
      </c>
      <c r="M54" s="64">
        <f t="shared" si="117"/>
        <v>48</v>
      </c>
      <c r="N54" s="44">
        <f t="shared" si="118"/>
        <v>1.5950609553622987E-4</v>
      </c>
      <c r="O54" s="36">
        <f t="shared" si="119"/>
        <v>1.4355548598260688E-4</v>
      </c>
      <c r="P54" s="45">
        <f t="shared" si="120"/>
        <v>1.3050498725691536E-4</v>
      </c>
      <c r="Q54" s="60">
        <f t="shared" si="121"/>
        <v>0.15786965328249733</v>
      </c>
      <c r="R54" s="65">
        <f t="shared" si="122"/>
        <v>0.13888888888888887</v>
      </c>
      <c r="S54" s="30">
        <f t="shared" si="123"/>
        <v>0.87976939203354287</v>
      </c>
      <c r="T54" s="31">
        <f t="shared" si="124"/>
        <v>0.31184129043456266</v>
      </c>
      <c r="U54" s="31">
        <f t="shared" si="60"/>
        <v>1.0356900372508242</v>
      </c>
      <c r="V54" s="55">
        <f t="shared" si="125"/>
        <v>1.1627041243871732</v>
      </c>
      <c r="W54" s="54">
        <f t="shared" si="61"/>
        <v>0.35138231232483247</v>
      </c>
      <c r="X54" s="55">
        <f t="shared" si="62"/>
        <v>0.32276834720578784</v>
      </c>
      <c r="Y54" s="54">
        <f t="shared" si="126"/>
        <v>0.56069029878162968</v>
      </c>
      <c r="Z54" s="55">
        <f t="shared" si="63"/>
        <v>0.25371955215913727</v>
      </c>
      <c r="AA54" s="54">
        <f t="shared" si="127"/>
        <v>0.56069029878162968</v>
      </c>
      <c r="AB54" s="55">
        <f t="shared" si="64"/>
        <v>0.25371955215913727</v>
      </c>
      <c r="AC54" s="54">
        <f t="shared" si="128"/>
        <v>0</v>
      </c>
      <c r="AD54" s="55">
        <f t="shared" si="65"/>
        <v>0</v>
      </c>
      <c r="AE54" s="54">
        <f t="shared" si="129"/>
        <v>0</v>
      </c>
      <c r="AF54" s="55">
        <f t="shared" si="66"/>
        <v>0</v>
      </c>
      <c r="AG54" s="54">
        <f t="shared" si="130"/>
        <v>0</v>
      </c>
      <c r="AH54" s="55">
        <f t="shared" si="67"/>
        <v>0</v>
      </c>
      <c r="AI54" s="54">
        <f t="shared" si="131"/>
        <v>0</v>
      </c>
      <c r="AJ54" s="177">
        <f t="shared" si="69"/>
        <v>0</v>
      </c>
      <c r="AK54" s="54">
        <f t="shared" si="132"/>
        <v>0.12685335584321361</v>
      </c>
      <c r="AL54" s="55">
        <f t="shared" si="133"/>
        <v>7.8049816711411785E-2</v>
      </c>
      <c r="AM54" s="180">
        <f t="shared" si="134"/>
        <v>2.7318996890763111E-2</v>
      </c>
      <c r="AN54" s="53">
        <f t="shared" si="135"/>
        <v>0</v>
      </c>
      <c r="AO54" s="75">
        <f t="shared" si="136"/>
        <v>0</v>
      </c>
      <c r="AP54" s="78">
        <v>0</v>
      </c>
      <c r="AQ54" s="88">
        <f t="shared" si="137"/>
        <v>0</v>
      </c>
      <c r="AR54" s="47">
        <f t="shared" si="138"/>
        <v>15.321271323632704</v>
      </c>
      <c r="AS54" s="70">
        <f t="shared" si="139"/>
        <v>1.149095349272453E-2</v>
      </c>
      <c r="AT54" s="44">
        <f t="shared" si="140"/>
        <v>18.84871739579139</v>
      </c>
      <c r="AU54" s="80">
        <f t="shared" si="141"/>
        <v>1.4136538046843542E-2</v>
      </c>
      <c r="AV54" s="83">
        <f t="shared" si="71"/>
        <v>2.0748471052691622E-3</v>
      </c>
      <c r="AW54" s="84">
        <f t="shared" si="72"/>
        <v>1.1205544607566467E-2</v>
      </c>
      <c r="AX54" s="42">
        <f t="shared" si="142"/>
        <v>4.1058732612055629E-2</v>
      </c>
      <c r="AY54" s="43">
        <f t="shared" si="73"/>
        <v>1.0572395549565303E-2</v>
      </c>
      <c r="AZ54" s="85">
        <f t="shared" si="143"/>
        <v>4.1058732612055629E-2</v>
      </c>
      <c r="BA54" s="86">
        <f t="shared" si="74"/>
        <v>1.0572395549565303E-2</v>
      </c>
      <c r="BB54" s="85">
        <f t="shared" si="144"/>
        <v>0</v>
      </c>
      <c r="BC54" s="86">
        <f t="shared" si="75"/>
        <v>0</v>
      </c>
      <c r="BD54" s="85">
        <f t="shared" si="145"/>
        <v>0</v>
      </c>
      <c r="BE54" s="86">
        <f t="shared" si="76"/>
        <v>0</v>
      </c>
      <c r="BF54" s="85">
        <f t="shared" si="146"/>
        <v>0</v>
      </c>
      <c r="BG54" s="86">
        <f t="shared" si="77"/>
        <v>0</v>
      </c>
      <c r="BH54" s="85">
        <f t="shared" si="147"/>
        <v>0</v>
      </c>
      <c r="BI54" s="86">
        <f t="shared" si="78"/>
        <v>0</v>
      </c>
      <c r="BJ54" s="85">
        <f t="shared" si="148"/>
        <v>3.1673879443585777E-3</v>
      </c>
      <c r="BK54" s="207">
        <f t="shared" si="149"/>
        <v>1.9295011174779158E-3</v>
      </c>
      <c r="BL54" s="208">
        <f t="shared" si="79"/>
        <v>0.12163953709791399</v>
      </c>
      <c r="BM54" s="209">
        <f t="shared" si="80"/>
        <v>0.12163953709791399</v>
      </c>
      <c r="BN54" s="209">
        <f t="shared" si="81"/>
        <v>0.12163953709791399</v>
      </c>
      <c r="BO54" s="209">
        <f t="shared" si="82"/>
        <v>0.13313049059063853</v>
      </c>
      <c r="BP54" s="210">
        <f t="shared" si="83"/>
        <v>0.13577607514475754</v>
      </c>
      <c r="BQ54" s="240">
        <f t="shared" si="84"/>
        <v>1.3503086419753084E-3</v>
      </c>
      <c r="BR54" s="241">
        <f t="shared" si="150"/>
        <v>2.5000000000000001E-3</v>
      </c>
      <c r="BS54" s="241">
        <f t="shared" si="151"/>
        <v>2.5000000000000001E-3</v>
      </c>
      <c r="BT54" s="241">
        <f t="shared" si="152"/>
        <v>0</v>
      </c>
      <c r="BU54" s="241">
        <f t="shared" si="153"/>
        <v>0</v>
      </c>
      <c r="BV54" s="241">
        <f t="shared" si="154"/>
        <v>0</v>
      </c>
      <c r="BW54" s="241">
        <f t="shared" si="155"/>
        <v>0</v>
      </c>
      <c r="BX54" s="242">
        <f t="shared" si="156"/>
        <v>1.0000000000000002E-4</v>
      </c>
      <c r="BY54" s="232">
        <f t="shared" si="85"/>
        <v>6.4503086419753089E-3</v>
      </c>
      <c r="BZ54" s="189">
        <f t="shared" si="86"/>
        <v>9.6450617283950598E-5</v>
      </c>
      <c r="CA54" s="226">
        <f t="shared" si="157"/>
        <v>0.19003018867924529</v>
      </c>
      <c r="CB54" s="226">
        <f t="shared" si="158"/>
        <v>0.23099999999999998</v>
      </c>
      <c r="CC54" s="232">
        <f t="shared" si="87"/>
        <v>0.42112663929652921</v>
      </c>
      <c r="CD54" s="189">
        <f t="shared" si="159"/>
        <v>0.15</v>
      </c>
      <c r="CE54" s="243">
        <f t="shared" si="160"/>
        <v>3.0000000000000002E-2</v>
      </c>
      <c r="CF54" s="243">
        <f t="shared" si="42"/>
        <v>0.15</v>
      </c>
      <c r="CG54" s="243">
        <f t="shared" si="161"/>
        <v>3.0000000000000002E-2</v>
      </c>
      <c r="CH54" s="243">
        <f t="shared" si="44"/>
        <v>0</v>
      </c>
      <c r="CI54" s="243">
        <f t="shared" si="162"/>
        <v>0</v>
      </c>
      <c r="CJ54" s="243">
        <f t="shared" si="46"/>
        <v>0</v>
      </c>
      <c r="CK54" s="243">
        <f t="shared" si="163"/>
        <v>0</v>
      </c>
      <c r="CL54" s="243">
        <f t="shared" si="48"/>
        <v>0</v>
      </c>
      <c r="CM54" s="243">
        <f t="shared" si="164"/>
        <v>0</v>
      </c>
      <c r="CN54" s="243">
        <f t="shared" si="50"/>
        <v>0</v>
      </c>
      <c r="CO54" s="243">
        <f t="shared" si="165"/>
        <v>0</v>
      </c>
      <c r="CP54" s="243">
        <f t="shared" si="52"/>
        <v>0.03</v>
      </c>
      <c r="CQ54" s="243">
        <f t="shared" si="166"/>
        <v>6.0000000000000005E-2</v>
      </c>
      <c r="CR54" s="232">
        <f t="shared" si="167"/>
        <v>0.39</v>
      </c>
      <c r="CS54" s="247">
        <f t="shared" si="168"/>
        <v>0.13831779310233275</v>
      </c>
      <c r="CT54" s="189">
        <f t="shared" si="88"/>
        <v>0.95589474104083727</v>
      </c>
      <c r="CU54" s="226">
        <f t="shared" si="169"/>
        <v>6.9558947410408374</v>
      </c>
      <c r="CV54" s="228">
        <f t="shared" si="170"/>
        <v>0.86257774497349526</v>
      </c>
      <c r="CW54">
        <f t="shared" si="171"/>
        <v>56.488964346349746</v>
      </c>
      <c r="CX54">
        <f t="shared" si="172"/>
        <v>102.80643088459239</v>
      </c>
      <c r="DA54" s="22">
        <v>600000</v>
      </c>
      <c r="DB54" s="22">
        <f t="shared" si="89"/>
        <v>3769911.1843077517</v>
      </c>
      <c r="DC54" s="260">
        <f t="shared" si="90"/>
        <v>-29.598079464262966</v>
      </c>
      <c r="DD54" s="93">
        <f t="shared" si="112"/>
        <v>116.15123820763608</v>
      </c>
      <c r="DE54" s="260">
        <f t="shared" si="113"/>
        <v>-30.288723781611662</v>
      </c>
      <c r="DF54" s="93">
        <f t="shared" si="114"/>
        <v>118.02157954421045</v>
      </c>
      <c r="DG54" s="257">
        <f t="shared" si="115"/>
        <v>-33.334124149614247</v>
      </c>
      <c r="DH54" s="93">
        <f t="shared" si="116"/>
        <v>142.31519932383918</v>
      </c>
      <c r="DI54" s="91">
        <f t="shared" si="96"/>
        <v>-45.863921237805471</v>
      </c>
      <c r="DJ54" s="257">
        <f t="shared" si="97"/>
        <v>92.243394557661347</v>
      </c>
      <c r="DK54" s="92">
        <f t="shared" si="98"/>
        <v>-44.743349330315219</v>
      </c>
      <c r="DL54" s="93">
        <f t="shared" si="99"/>
        <v>92.255460430218534</v>
      </c>
      <c r="DM54" s="260">
        <f t="shared" si="100"/>
        <v>-75.462000702068437</v>
      </c>
      <c r="DN54" s="270">
        <f t="shared" si="101"/>
        <v>-151.60536723470247</v>
      </c>
      <c r="DO54" s="260">
        <f t="shared" si="102"/>
        <v>-76.152645019417136</v>
      </c>
      <c r="DP54" s="267">
        <f t="shared" si="103"/>
        <v>210.26497410187181</v>
      </c>
      <c r="DQ54" s="257">
        <f t="shared" si="104"/>
        <v>-79.198045387419711</v>
      </c>
      <c r="DR54" s="267">
        <f t="shared" si="105"/>
        <v>234.55859388150054</v>
      </c>
      <c r="DS54" s="260">
        <f t="shared" si="106"/>
        <v>-74.341428794578178</v>
      </c>
      <c r="DT54" s="269">
        <f t="shared" si="107"/>
        <v>-151.59330136214541</v>
      </c>
      <c r="DU54" s="260">
        <f t="shared" si="108"/>
        <v>-75.032073111926877</v>
      </c>
      <c r="DV54" s="93">
        <f t="shared" si="109"/>
        <v>210.27703997442899</v>
      </c>
      <c r="DW54" s="257">
        <f t="shared" si="110"/>
        <v>-78.077473479929466</v>
      </c>
      <c r="DX54" s="93">
        <f t="shared" si="111"/>
        <v>234.57065975405771</v>
      </c>
    </row>
    <row r="55" spans="1:128" x14ac:dyDescent="0.25">
      <c r="A55" s="310" t="s">
        <v>432</v>
      </c>
      <c r="B55" s="310"/>
      <c r="C55" s="310"/>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DA55" s="22">
        <v>700000</v>
      </c>
      <c r="DB55" s="22">
        <f t="shared" si="89"/>
        <v>4398229.7150257099</v>
      </c>
      <c r="DC55" s="260">
        <f t="shared" si="90"/>
        <v>-30.74616217062669</v>
      </c>
      <c r="DD55" s="93">
        <f t="shared" si="112"/>
        <v>118.45210211073773</v>
      </c>
      <c r="DE55" s="260">
        <f t="shared" si="113"/>
        <v>-31.439244782918969</v>
      </c>
      <c r="DF55" s="93">
        <f t="shared" si="114"/>
        <v>120.05667326049047</v>
      </c>
      <c r="DG55" s="257">
        <f t="shared" si="115"/>
        <v>-34.635625610855037</v>
      </c>
      <c r="DH55" s="93">
        <f t="shared" si="116"/>
        <v>141.1702352955505</v>
      </c>
      <c r="DI55" s="91">
        <f t="shared" si="96"/>
        <v>-47.201016041116844</v>
      </c>
      <c r="DJ55" s="257">
        <f t="shared" si="97"/>
        <v>91.923187298502782</v>
      </c>
      <c r="DK55" s="92">
        <f t="shared" si="98"/>
        <v>-46.080427320788687</v>
      </c>
      <c r="DL55" s="93">
        <f t="shared" si="99"/>
        <v>91.933533274751667</v>
      </c>
      <c r="DM55" s="260">
        <f t="shared" si="100"/>
        <v>-77.947178211743534</v>
      </c>
      <c r="DN55" s="270">
        <f t="shared" si="101"/>
        <v>-149.62471059075938</v>
      </c>
      <c r="DO55" s="260">
        <f t="shared" si="102"/>
        <v>-78.640260824035806</v>
      </c>
      <c r="DP55" s="267">
        <f t="shared" si="103"/>
        <v>211.97986055899327</v>
      </c>
      <c r="DQ55" s="257">
        <f t="shared" si="104"/>
        <v>-81.836641651971888</v>
      </c>
      <c r="DR55" s="267">
        <f t="shared" si="105"/>
        <v>233.09342259405327</v>
      </c>
      <c r="DS55" s="260">
        <f t="shared" si="106"/>
        <v>-76.826589491415376</v>
      </c>
      <c r="DT55" s="269">
        <f t="shared" si="107"/>
        <v>-149.61436461451055</v>
      </c>
      <c r="DU55" s="260">
        <f t="shared" si="108"/>
        <v>-77.519672103707649</v>
      </c>
      <c r="DV55" s="93">
        <f t="shared" si="109"/>
        <v>211.99020653524212</v>
      </c>
      <c r="DW55" s="257">
        <f t="shared" si="110"/>
        <v>-80.716052931643731</v>
      </c>
      <c r="DX55" s="93">
        <f t="shared" si="111"/>
        <v>233.10376857030218</v>
      </c>
    </row>
    <row r="56" spans="1:128" x14ac:dyDescent="0.25">
      <c r="A56" s="204" t="s">
        <v>441</v>
      </c>
      <c r="B56" s="204">
        <f>IF(AND(Vout1&lt;&gt;0,Iout1&lt;&gt;0,Ns1_Flyback&lt;&gt;0),ABS(Vout1)+((Ns1_Flyback/Np)*VinMax),0)</f>
        <v>33.271999999999998</v>
      </c>
      <c r="C56" s="204" t="s">
        <v>5</v>
      </c>
      <c r="DA56" s="22">
        <v>800000</v>
      </c>
      <c r="DB56" s="22">
        <f t="shared" si="89"/>
        <v>5026548.2457436686</v>
      </c>
      <c r="DC56" s="260">
        <f t="shared" si="90"/>
        <v>-31.695711249548687</v>
      </c>
      <c r="DD56" s="93">
        <f t="shared" si="112"/>
        <v>120.80933900062557</v>
      </c>
      <c r="DE56" s="260">
        <f t="shared" si="113"/>
        <v>-32.390379258085758</v>
      </c>
      <c r="DF56" s="93">
        <f t="shared" si="114"/>
        <v>122.21414726029452</v>
      </c>
      <c r="DG56" s="257">
        <f t="shared" si="115"/>
        <v>-35.688755984749292</v>
      </c>
      <c r="DH56" s="93">
        <f t="shared" si="116"/>
        <v>140.86024995743279</v>
      </c>
      <c r="DI56" s="91">
        <f t="shared" si="96"/>
        <v>-48.359659689680811</v>
      </c>
      <c r="DJ56" s="257">
        <f t="shared" si="97"/>
        <v>91.682946647928716</v>
      </c>
      <c r="DK56" s="92">
        <f t="shared" si="98"/>
        <v>-47.239060049529357</v>
      </c>
      <c r="DL56" s="93">
        <f t="shared" si="99"/>
        <v>91.692001536586105</v>
      </c>
      <c r="DM56" s="260">
        <f t="shared" si="100"/>
        <v>-80.055370939229505</v>
      </c>
      <c r="DN56" s="270">
        <f t="shared" si="101"/>
        <v>-147.50771435144571</v>
      </c>
      <c r="DO56" s="260">
        <f t="shared" si="102"/>
        <v>-80.750038947766569</v>
      </c>
      <c r="DP56" s="267">
        <f t="shared" si="103"/>
        <v>213.89709390822324</v>
      </c>
      <c r="DQ56" s="257">
        <f t="shared" si="104"/>
        <v>-84.048415674430103</v>
      </c>
      <c r="DR56" s="267">
        <f t="shared" si="105"/>
        <v>232.54319660536152</v>
      </c>
      <c r="DS56" s="260">
        <f t="shared" si="106"/>
        <v>-78.934771299078051</v>
      </c>
      <c r="DT56" s="269">
        <f t="shared" si="107"/>
        <v>-147.49865946278831</v>
      </c>
      <c r="DU56" s="260">
        <f t="shared" si="108"/>
        <v>-79.629439307615115</v>
      </c>
      <c r="DV56" s="93">
        <f t="shared" si="109"/>
        <v>213.90614879688064</v>
      </c>
      <c r="DW56" s="257">
        <f t="shared" si="110"/>
        <v>-82.927816034278649</v>
      </c>
      <c r="DX56" s="93">
        <f t="shared" si="111"/>
        <v>232.55225149401889</v>
      </c>
    </row>
    <row r="57" spans="1:128" x14ac:dyDescent="0.25">
      <c r="A57" s="204" t="s">
        <v>442</v>
      </c>
      <c r="B57" s="12">
        <f>IF(AND(Vout2&lt;&gt;0,Iout2&lt;&gt;0,Ns2_Flyback&lt;&gt;0),ABS(Vout2)+((Ns2_Flyback/Np)*VinMax),0)</f>
        <v>33.271999999999998</v>
      </c>
      <c r="C57" s="204" t="s">
        <v>5</v>
      </c>
      <c r="DA57" s="22">
        <v>900000</v>
      </c>
      <c r="DB57" s="22">
        <f t="shared" si="89"/>
        <v>5654866.7764616273</v>
      </c>
      <c r="DC57" s="260">
        <f t="shared" si="90"/>
        <v>-32.492119497399941</v>
      </c>
      <c r="DD57" s="93">
        <f t="shared" si="112"/>
        <v>123.15254050011886</v>
      </c>
      <c r="DE57" s="260">
        <f t="shared" si="113"/>
        <v>-33.187875747274489</v>
      </c>
      <c r="DF57" s="93">
        <f t="shared" si="114"/>
        <v>124.40175218125493</v>
      </c>
      <c r="DG57" s="257">
        <f t="shared" si="115"/>
        <v>-36.558114509733471</v>
      </c>
      <c r="DH57" s="93">
        <f t="shared" si="116"/>
        <v>141.08364542567716</v>
      </c>
      <c r="DI57" s="91">
        <f t="shared" si="96"/>
        <v>-49.381890460766286</v>
      </c>
      <c r="DJ57" s="257">
        <f t="shared" si="97"/>
        <v>91.496048745765663</v>
      </c>
      <c r="DK57" s="92">
        <f t="shared" si="98"/>
        <v>-48.261283330539641</v>
      </c>
      <c r="DL57" s="93">
        <f t="shared" si="99"/>
        <v>91.504098852301269</v>
      </c>
      <c r="DM57" s="260">
        <f t="shared" si="100"/>
        <v>-81.874009958166226</v>
      </c>
      <c r="DN57" s="270">
        <f t="shared" si="101"/>
        <v>-145.35141075411548</v>
      </c>
      <c r="DO57" s="260">
        <f t="shared" si="102"/>
        <v>-82.569766208040775</v>
      </c>
      <c r="DP57" s="267">
        <f t="shared" si="103"/>
        <v>215.8978009270206</v>
      </c>
      <c r="DQ57" s="257">
        <f t="shared" si="104"/>
        <v>-85.940004970499757</v>
      </c>
      <c r="DR57" s="267">
        <f t="shared" si="105"/>
        <v>232.57969417144284</v>
      </c>
      <c r="DS57" s="260">
        <f t="shared" si="106"/>
        <v>-80.753402827939581</v>
      </c>
      <c r="DT57" s="269">
        <f t="shared" si="107"/>
        <v>-145.34336064757989</v>
      </c>
      <c r="DU57" s="260">
        <f t="shared" si="108"/>
        <v>-81.44915907781413</v>
      </c>
      <c r="DV57" s="93">
        <f t="shared" si="109"/>
        <v>215.90585103355619</v>
      </c>
      <c r="DW57" s="257">
        <f t="shared" si="110"/>
        <v>-84.819397840273112</v>
      </c>
      <c r="DX57" s="93">
        <f t="shared" si="111"/>
        <v>232.58774427797843</v>
      </c>
    </row>
    <row r="58" spans="1:128" x14ac:dyDescent="0.25">
      <c r="A58" s="204" t="s">
        <v>443</v>
      </c>
      <c r="B58" s="12">
        <f>IF(AND(Vout3&lt;&gt;0,Iout3&lt;&gt;0,Ns3_Flyback&lt;&gt;0),ABS(Vout3)+((Ns3_Flyback/Np)*VinMax),0)</f>
        <v>0</v>
      </c>
      <c r="C58" s="204" t="s">
        <v>5</v>
      </c>
      <c r="DA58" s="22">
        <v>1000000</v>
      </c>
      <c r="DB58" s="22">
        <f t="shared" si="89"/>
        <v>6283185.307179586</v>
      </c>
      <c r="DC58" s="260">
        <f t="shared" si="90"/>
        <v>-33.167212210440304</v>
      </c>
      <c r="DD58" s="93">
        <f t="shared" si="112"/>
        <v>125.44057189574923</v>
      </c>
      <c r="DE58" s="260">
        <f t="shared" si="113"/>
        <v>-33.863747522165305</v>
      </c>
      <c r="DF58" s="93">
        <f t="shared" si="114"/>
        <v>126.5651801611704</v>
      </c>
      <c r="DG58" s="257">
        <f t="shared" si="115"/>
        <v>-37.286394969975944</v>
      </c>
      <c r="DH58" s="93">
        <f t="shared" si="116"/>
        <v>141.64951051419061</v>
      </c>
      <c r="DI58" s="91">
        <f t="shared" si="96"/>
        <v>-50.296453866223345</v>
      </c>
      <c r="DJ58" s="257">
        <f t="shared" si="97"/>
        <v>91.346505793964482</v>
      </c>
      <c r="DK58" s="92">
        <f t="shared" si="98"/>
        <v>-49.175841376652144</v>
      </c>
      <c r="DL58" s="93">
        <f t="shared" si="99"/>
        <v>91.353751737714489</v>
      </c>
      <c r="DM58" s="260">
        <f t="shared" si="100"/>
        <v>-83.463666076663657</v>
      </c>
      <c r="DN58" s="270">
        <f t="shared" si="101"/>
        <v>-143.21292231028627</v>
      </c>
      <c r="DO58" s="260">
        <f t="shared" si="102"/>
        <v>-84.160201388388657</v>
      </c>
      <c r="DP58" s="267">
        <f t="shared" si="103"/>
        <v>217.91168595513489</v>
      </c>
      <c r="DQ58" s="257">
        <f t="shared" si="104"/>
        <v>-87.58284883619929</v>
      </c>
      <c r="DR58" s="267">
        <f t="shared" si="105"/>
        <v>232.99601630815511</v>
      </c>
      <c r="DS58" s="260">
        <f t="shared" si="106"/>
        <v>-82.343053587092442</v>
      </c>
      <c r="DT58" s="269">
        <f t="shared" si="107"/>
        <v>-143.20567636653627</v>
      </c>
      <c r="DU58" s="260">
        <f t="shared" si="108"/>
        <v>-83.039588898817442</v>
      </c>
      <c r="DV58" s="93">
        <f t="shared" si="109"/>
        <v>217.91893189888489</v>
      </c>
      <c r="DW58" s="257">
        <f t="shared" si="110"/>
        <v>-86.462236346628089</v>
      </c>
      <c r="DX58" s="93">
        <f t="shared" si="111"/>
        <v>233.00326225190508</v>
      </c>
    </row>
    <row r="59" spans="1:128" ht="15.75" thickBot="1" x14ac:dyDescent="0.3">
      <c r="A59" s="204" t="s">
        <v>444</v>
      </c>
      <c r="B59" s="12">
        <f>IF(AND(Vout4&lt;&gt;0,Iout4&lt;&gt;0,Ns4_Flyback&lt;&gt;0),ABS(Vout4)+((Ns4_Flyback/Np)*VinMax),0)</f>
        <v>0</v>
      </c>
      <c r="C59" s="204" t="s">
        <v>5</v>
      </c>
      <c r="DA59" s="22">
        <v>2000000</v>
      </c>
      <c r="DB59" s="22">
        <f t="shared" si="89"/>
        <v>12566370.614359172</v>
      </c>
      <c r="DC59" s="261">
        <f t="shared" si="90"/>
        <v>-36.518181638812457</v>
      </c>
      <c r="DD59" s="108">
        <f t="shared" si="112"/>
        <v>143.13776583813683</v>
      </c>
      <c r="DE59" s="261">
        <f t="shared" si="113"/>
        <v>-37.217211538883355</v>
      </c>
      <c r="DF59" s="108">
        <f t="shared" si="114"/>
        <v>143.70057860010172</v>
      </c>
      <c r="DG59" s="258">
        <f t="shared" si="115"/>
        <v>-40.813374210291329</v>
      </c>
      <c r="DH59" s="108">
        <f t="shared" si="116"/>
        <v>151.35971297620407</v>
      </c>
      <c r="DI59" s="104">
        <f t="shared" si="96"/>
        <v>-56.315178292302519</v>
      </c>
      <c r="DJ59" s="258">
        <f t="shared" si="97"/>
        <v>90.673351925636879</v>
      </c>
      <c r="DK59" s="106">
        <f t="shared" si="98"/>
        <v>-55.194548657198837</v>
      </c>
      <c r="DL59" s="108">
        <f t="shared" si="99"/>
        <v>90.676976253757374</v>
      </c>
      <c r="DM59" s="261">
        <f t="shared" si="100"/>
        <v>-92.833359931114984</v>
      </c>
      <c r="DN59" s="270">
        <f t="shared" si="101"/>
        <v>-126.18888223622625</v>
      </c>
      <c r="DO59" s="261">
        <f t="shared" si="102"/>
        <v>-93.532389831185867</v>
      </c>
      <c r="DP59" s="268">
        <f t="shared" si="103"/>
        <v>234.37393052573861</v>
      </c>
      <c r="DQ59" s="258">
        <f t="shared" si="104"/>
        <v>-97.128552502593848</v>
      </c>
      <c r="DR59" s="268">
        <f t="shared" si="105"/>
        <v>242.03306490184093</v>
      </c>
      <c r="DS59" s="261">
        <f t="shared" si="106"/>
        <v>-91.712730296011301</v>
      </c>
      <c r="DT59" s="269">
        <f t="shared" si="107"/>
        <v>-126.18525790810583</v>
      </c>
      <c r="DU59" s="261">
        <f t="shared" si="108"/>
        <v>-92.411760196082184</v>
      </c>
      <c r="DV59" s="108">
        <f t="shared" si="109"/>
        <v>234.3775548538591</v>
      </c>
      <c r="DW59" s="258">
        <f t="shared" si="110"/>
        <v>-96.007922867490166</v>
      </c>
      <c r="DX59" s="108">
        <f t="shared" si="111"/>
        <v>242.03668922996144</v>
      </c>
    </row>
    <row r="60" spans="1:128" x14ac:dyDescent="0.25">
      <c r="A60" s="204" t="s">
        <v>445</v>
      </c>
      <c r="B60" s="12">
        <f>IF(AND(Vout5&lt;&gt;0,Iout5&lt;&gt;0,Ns5_Flyback&lt;&gt;0),ABS(Vout5)+((Ns5_Flyback/Np)*VinMax),0)</f>
        <v>0</v>
      </c>
      <c r="C60" s="204" t="s">
        <v>5</v>
      </c>
    </row>
    <row r="61" spans="1:128" x14ac:dyDescent="0.25">
      <c r="A61" s="204" t="s">
        <v>446</v>
      </c>
      <c r="B61" s="12">
        <f>IF(AND(Vout6&lt;&gt;0,Iout6&lt;&gt;0,Ns6_Flyback&lt;&gt;0),ABS(Vout6)+((Ns6_Flyback/Np)*VinMax),0)</f>
        <v>0</v>
      </c>
      <c r="C61" s="204" t="s">
        <v>5</v>
      </c>
    </row>
    <row r="62" spans="1:128" x14ac:dyDescent="0.25">
      <c r="A62" s="204" t="s">
        <v>447</v>
      </c>
      <c r="B62" s="12">
        <f>IF(AND(VOUTAUX&lt;&gt;0,IoutAux&lt;&gt;0,NsAux_Flyback&lt;&gt;0),ABS(VOUTAUX)+((NsAux_Flyback/Np)*VinMax),0)</f>
        <v>67.072000000000003</v>
      </c>
      <c r="C62" s="204" t="s">
        <v>5</v>
      </c>
    </row>
    <row r="63" spans="1:128" x14ac:dyDescent="0.25">
      <c r="A63" s="214" t="s">
        <v>449</v>
      </c>
      <c r="B63" s="12"/>
      <c r="C63" s="12"/>
    </row>
    <row r="64" spans="1:128" x14ac:dyDescent="0.25">
      <c r="A64" s="214" t="s">
        <v>450</v>
      </c>
      <c r="B64" s="12"/>
      <c r="C64" s="12"/>
    </row>
    <row r="65" spans="1:3" x14ac:dyDescent="0.25">
      <c r="A65" s="323" t="s">
        <v>478</v>
      </c>
      <c r="B65" s="324"/>
      <c r="C65" s="324"/>
    </row>
    <row r="66" spans="1:3" x14ac:dyDescent="0.25">
      <c r="A66" s="214" t="s">
        <v>479</v>
      </c>
      <c r="B66" s="12">
        <f>'Flyback CCM'!B79</f>
        <v>91</v>
      </c>
      <c r="C66" s="12" t="s">
        <v>5</v>
      </c>
    </row>
    <row r="67" spans="1:3" x14ac:dyDescent="0.25">
      <c r="A67" s="214" t="s">
        <v>482</v>
      </c>
      <c r="B67" s="6">
        <f>2*(Vclamp_Flyback_CCM-VinMin)*((Vclamp_Flyback_CCM-VinMin)-(ABS(Vout1)*(Np/Ns1_Flyback)))/(LL_Flyback_CCM*(ILpeak_Max_FlyB_CCM^2)*Fsw)</f>
        <v>20199.449804937845</v>
      </c>
      <c r="C67" s="215" t="s">
        <v>254</v>
      </c>
    </row>
    <row r="68" spans="1:3" x14ac:dyDescent="0.25">
      <c r="A68" s="214" t="s">
        <v>481</v>
      </c>
      <c r="B68" s="12">
        <f>'Flyback CCM'!B82*1000</f>
        <v>5200</v>
      </c>
      <c r="C68" s="215" t="s">
        <v>254</v>
      </c>
    </row>
    <row r="69" spans="1:3" x14ac:dyDescent="0.25">
      <c r="A69" s="214" t="s">
        <v>484</v>
      </c>
      <c r="B69" s="12">
        <f>'Flyback CCM'!B80/1000</f>
        <v>0.05</v>
      </c>
      <c r="C69" s="239" t="s">
        <v>5</v>
      </c>
    </row>
    <row r="70" spans="1:3" x14ac:dyDescent="0.25">
      <c r="A70" s="214" t="s">
        <v>480</v>
      </c>
      <c r="B70" s="12">
        <f>(Vclamp_Flyback_CCM-VinMin)/(B69*Fsw*B68)</f>
        <v>1.1666666666666666E-6</v>
      </c>
      <c r="C70" s="215" t="s">
        <v>351</v>
      </c>
    </row>
    <row r="71" spans="1:3" x14ac:dyDescent="0.25">
      <c r="A71" s="214" t="s">
        <v>486</v>
      </c>
      <c r="B71" s="176">
        <f>'Flyback CCM'!B84*(10^-6)</f>
        <v>1.3E-6</v>
      </c>
      <c r="C71" s="215" t="s">
        <v>351</v>
      </c>
    </row>
    <row r="72" spans="1:3" x14ac:dyDescent="0.25">
      <c r="A72" s="214" t="s">
        <v>485</v>
      </c>
      <c r="B72" s="176">
        <f>(Vclamp_Flyback_CCM-VinMin)/(B71*Fsw*B68)</f>
        <v>4.4871794871794872E-2</v>
      </c>
      <c r="C72" s="239" t="s">
        <v>5</v>
      </c>
    </row>
    <row r="73" spans="1:3" x14ac:dyDescent="0.25">
      <c r="A73" s="319" t="s">
        <v>624</v>
      </c>
      <c r="B73" s="319"/>
      <c r="C73" s="319"/>
    </row>
    <row r="74" spans="1:3" x14ac:dyDescent="0.25">
      <c r="A74" s="222" t="s">
        <v>527</v>
      </c>
      <c r="B74">
        <f>IF('Flyback CCM'!B39="LM5020",5,IF('Flyback CCM'!B39="LM5021",6,IF('Flyback CCM'!B39="LM5022",7,IF('Flyback CCM'!B39="LM5001",8,5))))</f>
        <v>5</v>
      </c>
    </row>
    <row r="75" spans="1:3" x14ac:dyDescent="0.25">
      <c r="A75" s="222" t="s">
        <v>527</v>
      </c>
      <c r="B75" s="202" t="str">
        <f>VLOOKUP(B74,Parts!A4:BE11,2,FALSE)</f>
        <v>LM5020</v>
      </c>
    </row>
    <row r="76" spans="1:3" x14ac:dyDescent="0.25">
      <c r="A76" s="214" t="s">
        <v>0</v>
      </c>
      <c r="B76" s="12">
        <f>VLOOKUP(B74,Parts!A4:BE11,4,FALSE)</f>
        <v>10</v>
      </c>
      <c r="C76" s="12"/>
    </row>
    <row r="77" spans="1:3" x14ac:dyDescent="0.25">
      <c r="A77" s="214" t="s">
        <v>2</v>
      </c>
      <c r="B77" s="12">
        <f>VLOOKUP(B74,Parts!A4:BE11,5,FALSE)</f>
        <v>100</v>
      </c>
      <c r="C77" s="12"/>
    </row>
    <row r="78" spans="1:3" x14ac:dyDescent="0.25">
      <c r="A78" s="214" t="s">
        <v>550</v>
      </c>
      <c r="B78" s="12">
        <f>VLOOKUP(B74,Parts!A4:BE11,12,FALSE)</f>
        <v>0</v>
      </c>
      <c r="C78" s="12"/>
    </row>
    <row r="79" spans="1:3" x14ac:dyDescent="0.25">
      <c r="A79" s="214" t="s">
        <v>551</v>
      </c>
      <c r="B79" s="12">
        <f>VLOOKUP(B74,Parts!A4:BE11,8,FALSE)</f>
        <v>1.25</v>
      </c>
      <c r="C79" s="12"/>
    </row>
    <row r="80" spans="1:3" x14ac:dyDescent="0.25">
      <c r="A80" s="214" t="s">
        <v>552</v>
      </c>
      <c r="B80" s="12">
        <f>VLOOKUP(B74,Parts!A4:BE11,18,FALSE)</f>
        <v>7.7</v>
      </c>
      <c r="C80" s="12"/>
    </row>
    <row r="81" spans="1:5" x14ac:dyDescent="0.25">
      <c r="A81" s="214" t="s">
        <v>658</v>
      </c>
      <c r="B81" s="12">
        <f>VLOOKUP(B74,Parts!A4:BE11,44,FALSE)</f>
        <v>0.105</v>
      </c>
      <c r="C81" s="12" t="s">
        <v>5</v>
      </c>
    </row>
    <row r="82" spans="1:5" x14ac:dyDescent="0.25">
      <c r="A82" s="214" t="s">
        <v>667</v>
      </c>
      <c r="B82" s="12">
        <f>VLOOKUP(B74,Parts!A4:BE11,25,FALSE)</f>
        <v>0.12</v>
      </c>
      <c r="C82" s="12"/>
    </row>
    <row r="83" spans="1:5" x14ac:dyDescent="0.25">
      <c r="A83" s="214" t="s">
        <v>665</v>
      </c>
      <c r="B83" s="12">
        <f>VLOOKUP(B74,Parts!A4:BF11,58,FALSE)</f>
        <v>1</v>
      </c>
      <c r="C83" s="12"/>
    </row>
    <row r="84" spans="1:5" x14ac:dyDescent="0.25">
      <c r="A84" s="214" t="s">
        <v>666</v>
      </c>
      <c r="B84" s="12">
        <f>B82*B83</f>
        <v>0.12</v>
      </c>
      <c r="C84" s="12"/>
    </row>
    <row r="85" spans="1:5" x14ac:dyDescent="0.25">
      <c r="A85" s="214" t="s">
        <v>676</v>
      </c>
      <c r="B85" s="12">
        <f>IF(B74&lt;&gt;8,3,1)</f>
        <v>3</v>
      </c>
      <c r="C85" s="12"/>
    </row>
    <row r="86" spans="1:5" x14ac:dyDescent="0.25">
      <c r="A86" s="214" t="s">
        <v>553</v>
      </c>
      <c r="B86" s="12" t="str">
        <f>VLOOKUP(B74,Parts!A4:BE11,20,FALSE)</f>
        <v>-</v>
      </c>
      <c r="C86" s="12"/>
      <c r="E86" s="22"/>
    </row>
    <row r="87" spans="1:5" x14ac:dyDescent="0.25">
      <c r="A87" s="214" t="s">
        <v>593</v>
      </c>
      <c r="B87" s="12" t="str">
        <f>VLOOKUP(B74,Parts!A4:BE11,21,FALSE)</f>
        <v>-</v>
      </c>
      <c r="C87" s="12"/>
    </row>
    <row r="88" spans="1:5" x14ac:dyDescent="0.25">
      <c r="A88" s="214" t="s">
        <v>554</v>
      </c>
      <c r="B88" s="12">
        <f>VLOOKUP(B74,Parts!A4:BE11,22,FALSE)</f>
        <v>5.0000000000000001E-3</v>
      </c>
      <c r="C88" s="12"/>
    </row>
    <row r="89" spans="1:5" x14ac:dyDescent="0.25">
      <c r="A89" s="214" t="s">
        <v>592</v>
      </c>
      <c r="B89" s="12">
        <f>VLOOKUP(B74,Parts!A4:BE11,23,FALSE)</f>
        <v>9.9999999999999995E-8</v>
      </c>
      <c r="C89" s="12"/>
    </row>
    <row r="90" spans="1:5" x14ac:dyDescent="0.25">
      <c r="A90" s="214" t="s">
        <v>731</v>
      </c>
      <c r="B90" s="12">
        <f>VLOOKUP(B74,Parts!A4:BH15,26,FALSE)</f>
        <v>0.5</v>
      </c>
      <c r="C90" s="12" t="s">
        <v>5</v>
      </c>
    </row>
    <row r="91" spans="1:5" x14ac:dyDescent="0.25">
      <c r="A91" s="214" t="s">
        <v>575</v>
      </c>
      <c r="B91" s="12" t="str">
        <f>VLOOKUP(B74,Parts!A4:BE11,27,FALSE)</f>
        <v>-</v>
      </c>
      <c r="C91" s="12"/>
    </row>
    <row r="92" spans="1:5" x14ac:dyDescent="0.25">
      <c r="A92" s="214" t="s">
        <v>738</v>
      </c>
      <c r="B92" s="12">
        <f>VLOOKUP(B74,Parts!A4:BH15,60,FALSE)</f>
        <v>5</v>
      </c>
      <c r="C92" s="12" t="s">
        <v>5</v>
      </c>
    </row>
    <row r="93" spans="1:5" x14ac:dyDescent="0.25">
      <c r="A93" s="214" t="s">
        <v>739</v>
      </c>
      <c r="B93" s="12">
        <f>VLOOKUP(B74,Parts!A4:BE11,38,FALSE)</f>
        <v>5000</v>
      </c>
      <c r="C93" s="215" t="s">
        <v>254</v>
      </c>
    </row>
    <row r="94" spans="1:5" x14ac:dyDescent="0.25">
      <c r="A94" s="214" t="s">
        <v>937</v>
      </c>
      <c r="B94" s="12">
        <f>VLOOKUP(B74,Parts!A4:BK15,62,FALSE)</f>
        <v>26</v>
      </c>
      <c r="C94" s="215" t="s">
        <v>933</v>
      </c>
    </row>
    <row r="95" spans="1:5" x14ac:dyDescent="0.25">
      <c r="A95" s="214" t="s">
        <v>936</v>
      </c>
      <c r="B95" s="12">
        <f>VLOOKUP(B74,Parts!A4:BK15,63,FALSE)</f>
        <v>5.37</v>
      </c>
      <c r="C95" s="215" t="s">
        <v>932</v>
      </c>
    </row>
    <row r="96" spans="1:5" x14ac:dyDescent="0.25">
      <c r="A96" s="214" t="s">
        <v>938</v>
      </c>
      <c r="B96" s="12">
        <f>VLOOKUP(B74,Parts!A4:BK15,57,FALSE)</f>
        <v>23</v>
      </c>
      <c r="C96" s="215" t="s">
        <v>933</v>
      </c>
    </row>
    <row r="97" spans="1:3" x14ac:dyDescent="0.25">
      <c r="A97" s="214" t="s">
        <v>939</v>
      </c>
      <c r="B97" s="12">
        <f>VLOOKUP(B74,Parts!A4:BK15,61,FALSE)</f>
        <v>5.15</v>
      </c>
      <c r="C97" s="215" t="s">
        <v>932</v>
      </c>
    </row>
    <row r="98" spans="1:3" x14ac:dyDescent="0.25">
      <c r="A98" s="214" t="s">
        <v>591</v>
      </c>
      <c r="B98" s="12"/>
      <c r="C98" s="12"/>
    </row>
    <row r="99" spans="1:3" x14ac:dyDescent="0.25">
      <c r="A99" s="214" t="s">
        <v>591</v>
      </c>
      <c r="B99" s="12"/>
      <c r="C99" s="12"/>
    </row>
    <row r="100" spans="1:3" x14ac:dyDescent="0.25">
      <c r="A100" s="214" t="s">
        <v>583</v>
      </c>
      <c r="B100" s="12">
        <f>'Flyback CCM'!B27/1000</f>
        <v>7.0000000000000007E-2</v>
      </c>
      <c r="C100" s="12"/>
    </row>
    <row r="101" spans="1:3" x14ac:dyDescent="0.25">
      <c r="A101" s="214" t="s">
        <v>584</v>
      </c>
      <c r="B101" s="12">
        <f>'Flyback CCM'!F16/1000</f>
        <v>0.01</v>
      </c>
      <c r="C101" s="12"/>
    </row>
    <row r="102" spans="1:3" x14ac:dyDescent="0.25">
      <c r="A102" s="214" t="s">
        <v>585</v>
      </c>
      <c r="B102" s="12">
        <f>'Flyback CCM'!F17/1000</f>
        <v>0.01</v>
      </c>
      <c r="C102" s="12"/>
    </row>
    <row r="103" spans="1:3" x14ac:dyDescent="0.25">
      <c r="A103" s="214" t="s">
        <v>586</v>
      </c>
      <c r="B103" s="12">
        <f>'Flyback CCM'!F18/1000</f>
        <v>0</v>
      </c>
      <c r="C103" s="12"/>
    </row>
    <row r="104" spans="1:3" x14ac:dyDescent="0.25">
      <c r="A104" s="214" t="s">
        <v>587</v>
      </c>
      <c r="B104" s="12">
        <f>'Flyback CCM'!F19/1000</f>
        <v>0</v>
      </c>
      <c r="C104" s="12"/>
    </row>
    <row r="105" spans="1:3" x14ac:dyDescent="0.25">
      <c r="A105" s="214" t="s">
        <v>588</v>
      </c>
      <c r="B105" s="12">
        <f>'Flyback CCM'!F20/1000</f>
        <v>0</v>
      </c>
      <c r="C105" s="12"/>
    </row>
    <row r="106" spans="1:3" x14ac:dyDescent="0.25">
      <c r="A106" s="214" t="s">
        <v>589</v>
      </c>
      <c r="B106" s="12">
        <f>'Flyback CCM'!F21/1000</f>
        <v>0</v>
      </c>
      <c r="C106" s="12"/>
    </row>
    <row r="107" spans="1:3" x14ac:dyDescent="0.25">
      <c r="A107" s="214" t="s">
        <v>627</v>
      </c>
      <c r="B107" s="12">
        <f>'Flyback CCM'!F22/1000</f>
        <v>0.01</v>
      </c>
      <c r="C107" s="12"/>
    </row>
    <row r="108" spans="1:3" x14ac:dyDescent="0.25">
      <c r="A108" s="319" t="s">
        <v>648</v>
      </c>
      <c r="B108" s="319"/>
      <c r="C108" s="319"/>
    </row>
    <row r="109" spans="1:3" ht="15.75" thickBot="1" x14ac:dyDescent="0.3">
      <c r="A109" s="254" t="s">
        <v>746</v>
      </c>
      <c r="B109" s="266">
        <f>((ABS(Vout1)*B84/(Np/Ns1_Flyback))/((Lm_Flyback_CCM/((Np/Ns1_Flyback)^2))*Fsw))+B81</f>
        <v>0.14692081158691234</v>
      </c>
      <c r="C109" s="254" t="s">
        <v>5</v>
      </c>
    </row>
    <row r="110" spans="1:3" x14ac:dyDescent="0.25">
      <c r="A110" s="249" t="s">
        <v>655</v>
      </c>
      <c r="B110" s="256">
        <f>(((VinMin/(Np/Ns1_Flyback))+ABS(Vout1))/(B109))</f>
        <v>70.112599357010424</v>
      </c>
      <c r="C110" s="135"/>
    </row>
    <row r="111" spans="1:3" x14ac:dyDescent="0.25">
      <c r="A111" s="250" t="s">
        <v>656</v>
      </c>
      <c r="B111" s="257">
        <f>(((VinNom/(Np/Ns1_Flyback))+ABS(Vout1))/(B109))</f>
        <v>82.139486364469647</v>
      </c>
      <c r="C111" s="93"/>
    </row>
    <row r="112" spans="1:3" ht="15.75" thickBot="1" x14ac:dyDescent="0.3">
      <c r="A112" s="251" t="s">
        <v>657</v>
      </c>
      <c r="B112" s="258">
        <f>(((VinMax/(Np/Ns1_Flyback))+ABS(Vout1))/(B109))</f>
        <v>226.46213045398028</v>
      </c>
      <c r="C112" s="108"/>
    </row>
    <row r="113" spans="1:5" x14ac:dyDescent="0.25">
      <c r="A113" s="249" t="s">
        <v>659</v>
      </c>
      <c r="B113" s="256">
        <f>(1+F17)/(COUT1_FlyB_CCM*(ABS(Vout1)/Iout1))</f>
        <v>7499.764173191209</v>
      </c>
      <c r="C113" s="135"/>
      <c r="D113" s="22">
        <f>B113/(2*PI())</f>
        <v>1193.6245401868823</v>
      </c>
      <c r="E113" t="s">
        <v>694</v>
      </c>
    </row>
    <row r="114" spans="1:5" x14ac:dyDescent="0.25">
      <c r="A114" s="250" t="s">
        <v>660</v>
      </c>
      <c r="B114" s="257">
        <f>(1+F18)/(COUT1_FlyB_CCM*(ABS(Vout1)/Iout1))</f>
        <v>7142.6261319534296</v>
      </c>
      <c r="C114" s="93"/>
      <c r="D114" s="22">
        <f t="shared" ref="D114:D122" si="173">B114/(2*PI())</f>
        <v>1136.7842555577326</v>
      </c>
      <c r="E114" t="s">
        <v>694</v>
      </c>
    </row>
    <row r="115" spans="1:5" ht="15.75" thickBot="1" x14ac:dyDescent="0.3">
      <c r="A115" s="251" t="s">
        <v>661</v>
      </c>
      <c r="B115" s="258">
        <f>(1+F19)/(COUT1_FlyB_CCM*(ABS(Vout1)/Iout1))</f>
        <v>5789.3482664124867</v>
      </c>
      <c r="C115" s="108"/>
      <c r="D115" s="22">
        <f t="shared" si="173"/>
        <v>921.40339388004224</v>
      </c>
      <c r="E115" t="s">
        <v>694</v>
      </c>
    </row>
    <row r="116" spans="1:5" x14ac:dyDescent="0.25">
      <c r="A116" s="249" t="s">
        <v>662</v>
      </c>
      <c r="B116" s="256">
        <f>(B110*(B84/(Np/Ns1_Flyback)))/(Lm_Flyback_CCM/((Np/Ns1_Flyback)^2))</f>
        <v>176350.62405083425</v>
      </c>
      <c r="C116" s="135"/>
      <c r="D116" s="22">
        <f t="shared" si="173"/>
        <v>28067.073535030755</v>
      </c>
      <c r="E116" t="s">
        <v>694</v>
      </c>
    </row>
    <row r="117" spans="1:5" x14ac:dyDescent="0.25">
      <c r="A117" s="250" t="s">
        <v>663</v>
      </c>
      <c r="B117" s="257">
        <f>(B111*(B84/(Np/Ns1_Flyback)))/(Lm_Flyback_CCM/((Np/Ns1_Flyback)^2))</f>
        <v>206601.23590384118</v>
      </c>
      <c r="C117" s="93"/>
      <c r="D117" s="22">
        <f t="shared" si="173"/>
        <v>32881.60794299109</v>
      </c>
      <c r="E117" t="s">
        <v>694</v>
      </c>
    </row>
    <row r="118" spans="1:5" ht="15.75" thickBot="1" x14ac:dyDescent="0.3">
      <c r="A118" s="251" t="s">
        <v>664</v>
      </c>
      <c r="B118" s="258">
        <f>(B112*(B84/(Np/Ns1_Flyback)))/(Lm_Flyback_CCM/((Np/Ns1_Flyback)^2))</f>
        <v>569608.57813992398</v>
      </c>
      <c r="C118" s="108"/>
      <c r="D118" s="22">
        <f t="shared" si="173"/>
        <v>90656.020838515018</v>
      </c>
      <c r="E118" t="s">
        <v>694</v>
      </c>
    </row>
    <row r="119" spans="1:5" ht="15.75" thickBot="1" x14ac:dyDescent="0.3">
      <c r="A119" s="252" t="s">
        <v>669</v>
      </c>
      <c r="B119" s="259">
        <f>1/(('Flyback CCM'!B137/(10^6))*('Flyback CCM'!B138/1000))</f>
        <v>10000000</v>
      </c>
      <c r="C119" s="253"/>
      <c r="D119" s="22">
        <f t="shared" si="173"/>
        <v>1591549.4309189534</v>
      </c>
      <c r="E119" t="s">
        <v>694</v>
      </c>
    </row>
    <row r="120" spans="1:5" x14ac:dyDescent="0.25">
      <c r="A120" s="249" t="s">
        <v>670</v>
      </c>
      <c r="B120" s="256">
        <f>((ABS(Vout1)/Iout1)*((1-F17)^2))/((Lm_Flyback_CCM*F17)/((Np/Ns1_Flyback)^2))</f>
        <v>177982.49720122525</v>
      </c>
      <c r="C120" s="135"/>
      <c r="D120" s="22">
        <f t="shared" si="173"/>
        <v>28326.794213414429</v>
      </c>
      <c r="E120" t="s">
        <v>694</v>
      </c>
    </row>
    <row r="121" spans="1:5" x14ac:dyDescent="0.25">
      <c r="A121" s="250" t="s">
        <v>671</v>
      </c>
      <c r="B121" s="257">
        <f>((ABS(Vout1)/Iout1)*((1-F18)^2))/((Lm_Flyback_CCM*F18)/((Np/Ns1_Flyback)^2))</f>
        <v>271207.76956018229</v>
      </c>
      <c r="C121" s="93"/>
      <c r="D121" s="22">
        <f t="shared" si="173"/>
        <v>43164.05713043068</v>
      </c>
      <c r="E121" t="s">
        <v>694</v>
      </c>
    </row>
    <row r="122" spans="1:5" ht="15.75" thickBot="1" x14ac:dyDescent="0.3">
      <c r="A122" s="251" t="s">
        <v>672</v>
      </c>
      <c r="B122" s="258">
        <f>((ABS(Vout1)/Iout1)*((1-F19)^2))/((Lm_Flyback_CCM*F19)/((Np/Ns1_Flyback)^2))</f>
        <v>1598616.7968165544</v>
      </c>
      <c r="C122" s="108"/>
      <c r="D122" s="22">
        <f t="shared" si="173"/>
        <v>254427.76532308673</v>
      </c>
      <c r="E122" t="s">
        <v>694</v>
      </c>
    </row>
    <row r="123" spans="1:5" x14ac:dyDescent="0.25">
      <c r="A123" s="250" t="s">
        <v>675</v>
      </c>
      <c r="B123" s="92">
        <f>(ABS(Vout1)*(1-F17))/(Iout1*(1+F17)*B85*(B84/(Np/Ns1_Flyback)))</f>
        <v>15.722281617508335</v>
      </c>
      <c r="C123" s="93"/>
      <c r="D123" s="22"/>
    </row>
    <row r="124" spans="1:5" x14ac:dyDescent="0.25">
      <c r="A124" s="250" t="s">
        <v>673</v>
      </c>
      <c r="B124" s="92">
        <f>(ABS(Vout1)*(1-F18))/(Iout1*(1+F18)*B85*(B84/(Np/Ns1_Flyback)))</f>
        <v>18.866500641461023</v>
      </c>
      <c r="C124" s="93"/>
      <c r="D124" s="22"/>
    </row>
    <row r="125" spans="1:5" ht="15.75" thickBot="1" x14ac:dyDescent="0.3">
      <c r="A125" s="251" t="s">
        <v>674</v>
      </c>
      <c r="B125" s="106">
        <f>(ABS(Vout1)*(1-F19))/(Iout1*(1+F19)*B85*(B84/(Np/Ns1_Flyback)))</f>
        <v>34.300610550867809</v>
      </c>
      <c r="C125" s="108"/>
      <c r="D125" s="22"/>
    </row>
    <row r="126" spans="1:5" ht="15.75" thickBot="1" x14ac:dyDescent="0.3">
      <c r="A126" s="252" t="s">
        <v>695</v>
      </c>
      <c r="B126" s="259">
        <f>$B$123*IMABS(IMDIV(IMPRODUCT(COMPLEX(1,-(2*PI()*1000*'Flyback CCM'!B182)/$B$120),COMPLEX(1,(2*PI()*1000*'Flyback CCM'!B182)/$B$119)),IMPRODUCT(COMPLEX(1,(2*PI()*1000*'Flyback CCM'!B182)/$B$113),COMPLEX(1,(2*PI()*1000*'Flyback CCM'!B182)/$B$116))))</f>
        <v>12.051630923165852</v>
      </c>
      <c r="C126" s="253"/>
    </row>
    <row r="127" spans="1:5" ht="15.75" thickBot="1" x14ac:dyDescent="0.3">
      <c r="A127" s="325" t="s">
        <v>756</v>
      </c>
      <c r="B127" s="324"/>
      <c r="C127" s="324"/>
    </row>
    <row r="128" spans="1:5" x14ac:dyDescent="0.25">
      <c r="A128" s="249" t="s">
        <v>692</v>
      </c>
      <c r="B128" s="235">
        <f>'Flyback CCM'!B210*1000*2*PI()</f>
        <v>151515.15151515149</v>
      </c>
      <c r="C128" s="135" t="s">
        <v>694</v>
      </c>
    </row>
    <row r="129" spans="1:3" x14ac:dyDescent="0.25">
      <c r="A129" s="250" t="s">
        <v>693</v>
      </c>
      <c r="B129" s="92">
        <f>'Flyback CCM'!B213*1000*2*PI()</f>
        <v>3030.3030303030305</v>
      </c>
      <c r="C129" s="93" t="s">
        <v>694</v>
      </c>
    </row>
    <row r="130" spans="1:3" ht="15.75" thickBot="1" x14ac:dyDescent="0.3">
      <c r="A130" s="251" t="s">
        <v>748</v>
      </c>
      <c r="B130" s="106">
        <f>'Flyback CCM'!B196*'Flyback CCM'!B201/('Flyback CCM'!B205*1000)</f>
        <v>0.14423076923076922</v>
      </c>
      <c r="C130" s="108"/>
    </row>
    <row r="131" spans="1:3" x14ac:dyDescent="0.25">
      <c r="A131" s="313" t="s">
        <v>757</v>
      </c>
      <c r="B131" s="313"/>
      <c r="C131" s="313"/>
    </row>
    <row r="132" spans="1:3" x14ac:dyDescent="0.25">
      <c r="A132" s="222" t="s">
        <v>766</v>
      </c>
      <c r="B132">
        <f>((2*PI()*'Flyback CCM'!B182*1000)/(B126))*SQRT(((1+('Flyback CCM'!B182/'Flyback CCM'!B184)^2))/((1+('Flyback CCM'!B182/'Flyback CCM'!B186)^2)))</f>
        <v>232.20770512317577</v>
      </c>
    </row>
    <row r="133" spans="1:3" x14ac:dyDescent="0.25">
      <c r="A133" s="222" t="s">
        <v>692</v>
      </c>
      <c r="B133">
        <f>'Flyback CCM'!B247*1000*2*PI()</f>
        <v>150829.5625942685</v>
      </c>
    </row>
    <row r="134" spans="1:3" x14ac:dyDescent="0.25">
      <c r="A134" s="222" t="s">
        <v>693</v>
      </c>
      <c r="B134">
        <f>'Flyback CCM'!B248*1000*2*PI()</f>
        <v>3139.717425431711</v>
      </c>
    </row>
    <row r="135" spans="1:3" x14ac:dyDescent="0.25">
      <c r="A135" s="222" t="s">
        <v>765</v>
      </c>
      <c r="B135">
        <f>1/('Flyback CCM'!B237*1000*('Flyback CCM'!B242+'Flyback CCM'!B244)*(10^-9))</f>
        <v>399.84006397441021</v>
      </c>
    </row>
  </sheetData>
  <mergeCells count="19">
    <mergeCell ref="A127:C127"/>
    <mergeCell ref="A131:C131"/>
    <mergeCell ref="DM2:DR2"/>
    <mergeCell ref="DS2:DX2"/>
    <mergeCell ref="E22:H22"/>
    <mergeCell ref="A108:C108"/>
    <mergeCell ref="AT2:AU2"/>
    <mergeCell ref="W2:X2"/>
    <mergeCell ref="A55:C55"/>
    <mergeCell ref="A9:B9"/>
    <mergeCell ref="A4:B4"/>
    <mergeCell ref="A24:B24"/>
    <mergeCell ref="AR2:AS2"/>
    <mergeCell ref="DC2:DH2"/>
    <mergeCell ref="DI2:DJ2"/>
    <mergeCell ref="DK2:DL2"/>
    <mergeCell ref="A65:C65"/>
    <mergeCell ref="A73:C73"/>
    <mergeCell ref="BQ2:BY2"/>
  </mergeCells>
  <conditionalFormatting sqref="L4:BI54">
    <cfRule type="expression" dxfId="7" priority="7">
      <formula>MOD(ROW(),2)=1</formula>
    </cfRule>
  </conditionalFormatting>
  <conditionalFormatting sqref="BJ4:CV54">
    <cfRule type="expression" dxfId="6" priority="3">
      <formula>MOD(ROW(),2)=1</formula>
    </cfRule>
  </conditionalFormatting>
  <conditionalFormatting sqref="F24:H27">
    <cfRule type="cellIs" dxfId="5" priority="1" operator="equal">
      <formula>0</formula>
    </cfRule>
    <cfRule type="cellIs" dxfId="4" priority="2" operator="equal">
      <formula>1</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447</vt:i4>
      </vt:variant>
    </vt:vector>
  </HeadingPairs>
  <TitlesOfParts>
    <vt:vector size="466" baseType="lpstr">
      <vt:lpstr>Front Page</vt:lpstr>
      <vt:lpstr>Designs</vt:lpstr>
      <vt:lpstr>Fly-Buck</vt:lpstr>
      <vt:lpstr>Fly-Buck-Boost</vt:lpstr>
      <vt:lpstr>Flyback CCM</vt:lpstr>
      <vt:lpstr>Fly-Buck_Calc</vt:lpstr>
      <vt:lpstr>Flyback DCM</vt:lpstr>
      <vt:lpstr>Fly-BB_Calc</vt:lpstr>
      <vt:lpstr>Flyback_CCM_Calc</vt:lpstr>
      <vt:lpstr>Flyback_DCM_Calc</vt:lpstr>
      <vt:lpstr>Transformer</vt:lpstr>
      <vt:lpstr>Trans_Core</vt:lpstr>
      <vt:lpstr>Parts</vt:lpstr>
      <vt:lpstr>FlybacK CCM vs DCM</vt:lpstr>
      <vt:lpstr>Fly-Buck vs Fly-Buck-Boost</vt:lpstr>
      <vt:lpstr>Fly-Buck v Flyback</vt:lpstr>
      <vt:lpstr>Constants</vt:lpstr>
      <vt:lpstr>Rev Tracking</vt:lpstr>
      <vt:lpstr>Fly-Buck_Max</vt:lpstr>
      <vt:lpstr>a1_FB</vt:lpstr>
      <vt:lpstr>a1_FBB</vt:lpstr>
      <vt:lpstr>a1_FlyB_CCM</vt:lpstr>
      <vt:lpstr>a1_FlyB_DCM</vt:lpstr>
      <vt:lpstr>a2_FB</vt:lpstr>
      <vt:lpstr>a2_FBB</vt:lpstr>
      <vt:lpstr>a2_FlyB_CCM</vt:lpstr>
      <vt:lpstr>a2_FlyB_DCM</vt:lpstr>
      <vt:lpstr>a3_FB</vt:lpstr>
      <vt:lpstr>a3_FBB</vt:lpstr>
      <vt:lpstr>a3_FlyB_CCM</vt:lpstr>
      <vt:lpstr>a3_FlyB_DCM</vt:lpstr>
      <vt:lpstr>a4_FB</vt:lpstr>
      <vt:lpstr>a4_FBB</vt:lpstr>
      <vt:lpstr>a4_FlyB_CCM</vt:lpstr>
      <vt:lpstr>a4_FlyB_DCM</vt:lpstr>
      <vt:lpstr>a5_FB</vt:lpstr>
      <vt:lpstr>a5_FBB</vt:lpstr>
      <vt:lpstr>a5_FlyB_CCM</vt:lpstr>
      <vt:lpstr>a5_FlyB_DCM</vt:lpstr>
      <vt:lpstr>a6_FB</vt:lpstr>
      <vt:lpstr>a6_FBB</vt:lpstr>
      <vt:lpstr>a6_FlyB_CCM</vt:lpstr>
      <vt:lpstr>a6_FlyB_DCM</vt:lpstr>
      <vt:lpstr>aAUX_FlyB_CCM</vt:lpstr>
      <vt:lpstr>aAUX_FlyB_DCM</vt:lpstr>
      <vt:lpstr>Ae_FB</vt:lpstr>
      <vt:lpstr>Ae_FBB</vt:lpstr>
      <vt:lpstr>Ae_Flyback_CCM</vt:lpstr>
      <vt:lpstr>Ae_Flyback_DCM</vt:lpstr>
      <vt:lpstr>aPri_FB</vt:lpstr>
      <vt:lpstr>aPri_FBB</vt:lpstr>
      <vt:lpstr>aPri_FlyB_CCM</vt:lpstr>
      <vt:lpstr>aPri_FlyB_DCM</vt:lpstr>
      <vt:lpstr>Aw1_FB</vt:lpstr>
      <vt:lpstr>Aw1_FBB</vt:lpstr>
      <vt:lpstr>Aw1_FlyB_CCM</vt:lpstr>
      <vt:lpstr>Aw1_FlyB_DCM</vt:lpstr>
      <vt:lpstr>Aw2_FB</vt:lpstr>
      <vt:lpstr>Aw2_FBB</vt:lpstr>
      <vt:lpstr>Aw2_FlyB_CCM</vt:lpstr>
      <vt:lpstr>Aw2_FlyB_DCM</vt:lpstr>
      <vt:lpstr>Aw3_FB</vt:lpstr>
      <vt:lpstr>Aw3_FBB</vt:lpstr>
      <vt:lpstr>Aw3_FlyB_CCM</vt:lpstr>
      <vt:lpstr>Aw3_FlyB_DCM</vt:lpstr>
      <vt:lpstr>Aw4_FB</vt:lpstr>
      <vt:lpstr>Aw4_FBB</vt:lpstr>
      <vt:lpstr>Aw4_FlyB_CCM</vt:lpstr>
      <vt:lpstr>Aw4_FlyB_DCM</vt:lpstr>
      <vt:lpstr>Aw5_FB</vt:lpstr>
      <vt:lpstr>Aw5_FBB</vt:lpstr>
      <vt:lpstr>Aw5_FlyB_CCM</vt:lpstr>
      <vt:lpstr>Aw5_FlyB_DCM</vt:lpstr>
      <vt:lpstr>Aw6_FB</vt:lpstr>
      <vt:lpstr>Aw6_FBB</vt:lpstr>
      <vt:lpstr>Aw6_FlyB_CCM</vt:lpstr>
      <vt:lpstr>Aw6_FlyB_DCM</vt:lpstr>
      <vt:lpstr>AwAUX_FlyB_CCM</vt:lpstr>
      <vt:lpstr>AwAUX_FlyB_DCM</vt:lpstr>
      <vt:lpstr>AWG_FB</vt:lpstr>
      <vt:lpstr>AWG_FBB</vt:lpstr>
      <vt:lpstr>AWG_Flyback_CCM</vt:lpstr>
      <vt:lpstr>AWG_Flyback_DCM</vt:lpstr>
      <vt:lpstr>AWG1_FB</vt:lpstr>
      <vt:lpstr>AWG1_FBB</vt:lpstr>
      <vt:lpstr>AWG1_Flyback_CCM</vt:lpstr>
      <vt:lpstr>AWG1_Flyback_DCM</vt:lpstr>
      <vt:lpstr>AWG2_FB</vt:lpstr>
      <vt:lpstr>AWG2_FBB</vt:lpstr>
      <vt:lpstr>AWG2_Flyback_CCM</vt:lpstr>
      <vt:lpstr>AWG2_Flyback_DCM</vt:lpstr>
      <vt:lpstr>AWG3_FB</vt:lpstr>
      <vt:lpstr>AWG3_FBB</vt:lpstr>
      <vt:lpstr>AWG3_Flyback_CCM</vt:lpstr>
      <vt:lpstr>AWG3_Flyback_DCM</vt:lpstr>
      <vt:lpstr>AWG4_FB</vt:lpstr>
      <vt:lpstr>AWG4_FBB</vt:lpstr>
      <vt:lpstr>AWG4_Flyback_CCM</vt:lpstr>
      <vt:lpstr>AWG4_Flyback_DCM</vt:lpstr>
      <vt:lpstr>AWG5_FB</vt:lpstr>
      <vt:lpstr>AWG5_FBB</vt:lpstr>
      <vt:lpstr>AWG5_Flyback_CCM</vt:lpstr>
      <vt:lpstr>AWG5_Flyback_DCM</vt:lpstr>
      <vt:lpstr>AWG6_FB</vt:lpstr>
      <vt:lpstr>AWG6_FBB</vt:lpstr>
      <vt:lpstr>AWG6_Flyback_CCM</vt:lpstr>
      <vt:lpstr>AWG6_Flyback_DCM</vt:lpstr>
      <vt:lpstr>AWGAUX_Flyback_CCM</vt:lpstr>
      <vt:lpstr>AWGAUX_Flyback_DCM</vt:lpstr>
      <vt:lpstr>AwPri_FB</vt:lpstr>
      <vt:lpstr>AwPri_FBB</vt:lpstr>
      <vt:lpstr>AwPri_FlyB_CCM</vt:lpstr>
      <vt:lpstr>AwPri_FlyB_DCM</vt:lpstr>
      <vt:lpstr>Bmax_FB</vt:lpstr>
      <vt:lpstr>Bmax_FBB</vt:lpstr>
      <vt:lpstr>Bmax_Flyback</vt:lpstr>
      <vt:lpstr>Bmax_Flyback_DCM</vt:lpstr>
      <vt:lpstr>Bsat_3F35</vt:lpstr>
      <vt:lpstr>CM_3C92</vt:lpstr>
      <vt:lpstr>CM_3C96</vt:lpstr>
      <vt:lpstr>CM_3F35</vt:lpstr>
      <vt:lpstr>CM_3F36</vt:lpstr>
      <vt:lpstr>Ct_3C92</vt:lpstr>
      <vt:lpstr>Ct_3C96</vt:lpstr>
      <vt:lpstr>Ct_3F35</vt:lpstr>
      <vt:lpstr>Ct_3F36</vt:lpstr>
      <vt:lpstr>Ct1_3C92</vt:lpstr>
      <vt:lpstr>Ct1_3C96</vt:lpstr>
      <vt:lpstr>Ct1_3F35</vt:lpstr>
      <vt:lpstr>Ct1_3F36</vt:lpstr>
      <vt:lpstr>Ct2_3C92</vt:lpstr>
      <vt:lpstr>Ct2_3C96</vt:lpstr>
      <vt:lpstr>Ct2_3F35</vt:lpstr>
      <vt:lpstr>Ct2_3F36</vt:lpstr>
      <vt:lpstr>D_spec</vt:lpstr>
      <vt:lpstr>DC_Step</vt:lpstr>
      <vt:lpstr>dSkin</vt:lpstr>
      <vt:lpstr>'Fly-Buck_Max'!Eff</vt:lpstr>
      <vt:lpstr>eff</vt:lpstr>
      <vt:lpstr>Fly_Buck_Boost_Parts</vt:lpstr>
      <vt:lpstr>Fly_Buck_Parts</vt:lpstr>
      <vt:lpstr>Flyback_Parts</vt:lpstr>
      <vt:lpstr>Flyback_Qrr</vt:lpstr>
      <vt:lpstr>Freq_Selector</vt:lpstr>
      <vt:lpstr>Fsw_Input</vt:lpstr>
      <vt:lpstr>ILavg_FlyB</vt:lpstr>
      <vt:lpstr>ILpeak_Max_FB</vt:lpstr>
      <vt:lpstr>ILpeak_Max_FBB</vt:lpstr>
      <vt:lpstr>ILpeak_Max_FlyB_CCM</vt:lpstr>
      <vt:lpstr>ILpeak_Max_FlyB_DCM</vt:lpstr>
      <vt:lpstr>ILripple_Max_FB</vt:lpstr>
      <vt:lpstr>ILripple_Max_FBB</vt:lpstr>
      <vt:lpstr>ILripple_Max_FlyB_CCM</vt:lpstr>
      <vt:lpstr>ILripple_Max_FlyB_DCM</vt:lpstr>
      <vt:lpstr>ILrms_Ipri_FB</vt:lpstr>
      <vt:lpstr>ILrms_Ipri_FBB</vt:lpstr>
      <vt:lpstr>ILrms_Ipri_FlyB_CCM</vt:lpstr>
      <vt:lpstr>ILrms_Ipri_FlyB_DCM</vt:lpstr>
      <vt:lpstr>ILrms_IVAUX_FlyB_CCM</vt:lpstr>
      <vt:lpstr>ILrms_IVAUX_FlyB_DCM</vt:lpstr>
      <vt:lpstr>ILrms_IVOUT1_FlyB_CCM</vt:lpstr>
      <vt:lpstr>ILrms_IVOUT1_FlyB_DCM</vt:lpstr>
      <vt:lpstr>ILrms_IVOUT2_FlyB_CCM</vt:lpstr>
      <vt:lpstr>ILrms_IVOUT2_FlyB_DCM</vt:lpstr>
      <vt:lpstr>ILrms_IVOUT3_FlyB_CCM</vt:lpstr>
      <vt:lpstr>ILrms_IVOUT3_FlyB_DCM</vt:lpstr>
      <vt:lpstr>ILrms_IVOUT4_FlyB_CCM</vt:lpstr>
      <vt:lpstr>ILrms_IVOUT4_FlyB_DCM</vt:lpstr>
      <vt:lpstr>ILrms_IVOUT5_FlyB_CCM</vt:lpstr>
      <vt:lpstr>ILrms_IVOUT5_FlyB_DCM</vt:lpstr>
      <vt:lpstr>ILrms_IVOUT6_FlyB_CCM</vt:lpstr>
      <vt:lpstr>ILrms_IVOUT6_FlyB_DCM</vt:lpstr>
      <vt:lpstr>ILrms_Max_FB</vt:lpstr>
      <vt:lpstr>ILrms_Max_FBB</vt:lpstr>
      <vt:lpstr>ILrms_Max_FlyB_CCM</vt:lpstr>
      <vt:lpstr>ILrms_Max_FlyB_DCM</vt:lpstr>
      <vt:lpstr>ILrms_Total_Max_FB</vt:lpstr>
      <vt:lpstr>ILrms_Total_Max_FB_CCM</vt:lpstr>
      <vt:lpstr>ILrms_Total_Max_FB_DCM</vt:lpstr>
      <vt:lpstr>ILrms_Total_Max_FBB</vt:lpstr>
      <vt:lpstr>ILrms_VOUT1_FB</vt:lpstr>
      <vt:lpstr>ILrms_VOUT1_FBB</vt:lpstr>
      <vt:lpstr>ILrms_VOUT2_FB</vt:lpstr>
      <vt:lpstr>ILrms_VOUT2_FBB</vt:lpstr>
      <vt:lpstr>ILrms_VOUT3_FB</vt:lpstr>
      <vt:lpstr>ILrms_VOUT3_FBB</vt:lpstr>
      <vt:lpstr>ILrms_VOUT4_FB</vt:lpstr>
      <vt:lpstr>ILrms_VOUT4_FBB</vt:lpstr>
      <vt:lpstr>ILrms_VOUT5_FB</vt:lpstr>
      <vt:lpstr>ILrms_VOUT5_FBB</vt:lpstr>
      <vt:lpstr>ILrms_VOUT6_FB</vt:lpstr>
      <vt:lpstr>ILrms_VOUT6_FBB</vt:lpstr>
      <vt:lpstr>Iout1</vt:lpstr>
      <vt:lpstr>Iout2</vt:lpstr>
      <vt:lpstr>Iout3</vt:lpstr>
      <vt:lpstr>Iout4</vt:lpstr>
      <vt:lpstr>Iout5</vt:lpstr>
      <vt:lpstr>Iout6</vt:lpstr>
      <vt:lpstr>IoutAux</vt:lpstr>
      <vt:lpstr>IoutPri_FB</vt:lpstr>
      <vt:lpstr>IoutPri_FBB</vt:lpstr>
      <vt:lpstr>Kg_FB</vt:lpstr>
      <vt:lpstr>Kg_FBB</vt:lpstr>
      <vt:lpstr>Kg_Flyback</vt:lpstr>
      <vt:lpstr>Kg_Flyback_DCM</vt:lpstr>
      <vt:lpstr>Ku_FB</vt:lpstr>
      <vt:lpstr>Ku_FBB</vt:lpstr>
      <vt:lpstr>Ku_FlyBack</vt:lpstr>
      <vt:lpstr>Ku_FlyBack_DCM</vt:lpstr>
      <vt:lpstr>Lcalc_FB_VinMax</vt:lpstr>
      <vt:lpstr>Lcalc_FB_VinMin</vt:lpstr>
      <vt:lpstr>Lcalc_FB_VinNom</vt:lpstr>
      <vt:lpstr>Lcalc_FBB_VinMax</vt:lpstr>
      <vt:lpstr>Lcalc_FBB_VinMin</vt:lpstr>
      <vt:lpstr>Lcalc_FBB_VinNom</vt:lpstr>
      <vt:lpstr>Lcalc_Flyback_crit</vt:lpstr>
      <vt:lpstr>Lcalc_Flyback_VinMax</vt:lpstr>
      <vt:lpstr>Lcalc_Flyback_VinMin</vt:lpstr>
      <vt:lpstr>Lcalc_Flyback_VinNom</vt:lpstr>
      <vt:lpstr>Le_FB</vt:lpstr>
      <vt:lpstr>Le_FBB</vt:lpstr>
      <vt:lpstr>Le_Flyback_CCM</vt:lpstr>
      <vt:lpstr>Le_Flyback_DCM</vt:lpstr>
      <vt:lpstr>Lm_FlyB_Input</vt:lpstr>
      <vt:lpstr>Lm_Flyback_CCM_Input</vt:lpstr>
      <vt:lpstr>Lm_Flyback_DCM_Input</vt:lpstr>
      <vt:lpstr>Lm_FlyBB_Input</vt:lpstr>
      <vt:lpstr>MLT_FB</vt:lpstr>
      <vt:lpstr>MLT_FBB</vt:lpstr>
      <vt:lpstr>MLT_Flyback_CCM</vt:lpstr>
      <vt:lpstr>MLT_Flyback_DCM</vt:lpstr>
      <vt:lpstr>n1_FlyB</vt:lpstr>
      <vt:lpstr>n1_FlyB_Calc</vt:lpstr>
      <vt:lpstr>n1_Flyback</vt:lpstr>
      <vt:lpstr>n1_Flyback_Calc</vt:lpstr>
      <vt:lpstr>n1_FlyBB</vt:lpstr>
      <vt:lpstr>n1_FlyBB_Calc</vt:lpstr>
      <vt:lpstr>n2_FlyB</vt:lpstr>
      <vt:lpstr>n2_FlyB_Calc</vt:lpstr>
      <vt:lpstr>n2_Flyback</vt:lpstr>
      <vt:lpstr>n2_Flyback_Calc</vt:lpstr>
      <vt:lpstr>n2_FlyBB</vt:lpstr>
      <vt:lpstr>n2_FlyBB_Calc</vt:lpstr>
      <vt:lpstr>n3_FlyB</vt:lpstr>
      <vt:lpstr>n3_FlyB_Calc</vt:lpstr>
      <vt:lpstr>n3_Flyback</vt:lpstr>
      <vt:lpstr>n3_Flyback_Calc</vt:lpstr>
      <vt:lpstr>n3_FlyBB</vt:lpstr>
      <vt:lpstr>n3_FlyBB_Calc</vt:lpstr>
      <vt:lpstr>n4_FlyB</vt:lpstr>
      <vt:lpstr>n4_FlyB_Calc</vt:lpstr>
      <vt:lpstr>n4_Flyback</vt:lpstr>
      <vt:lpstr>n4_Flyback_Calc</vt:lpstr>
      <vt:lpstr>n4_FlyBB</vt:lpstr>
      <vt:lpstr>n4_FlyBB_Calc</vt:lpstr>
      <vt:lpstr>n5_FlyB</vt:lpstr>
      <vt:lpstr>n5_FlyB_Calc</vt:lpstr>
      <vt:lpstr>n5_Flyback</vt:lpstr>
      <vt:lpstr>n5_Flyback_Calc</vt:lpstr>
      <vt:lpstr>n5_FlyBB</vt:lpstr>
      <vt:lpstr>n5_FlyBB_Calc</vt:lpstr>
      <vt:lpstr>n6_FlyB</vt:lpstr>
      <vt:lpstr>n6_FlyB_Calc</vt:lpstr>
      <vt:lpstr>n6_Flyback</vt:lpstr>
      <vt:lpstr>n6_Flyback_Calc</vt:lpstr>
      <vt:lpstr>n6_FlyBB</vt:lpstr>
      <vt:lpstr>n6_FlyBB_Calc</vt:lpstr>
      <vt:lpstr>nAux_Flyback</vt:lpstr>
      <vt:lpstr>nAUX_Flyback_Calc</vt:lpstr>
      <vt:lpstr>Np</vt:lpstr>
      <vt:lpstr>Np_T_FB</vt:lpstr>
      <vt:lpstr>Np_T_FBB</vt:lpstr>
      <vt:lpstr>Np_T_Flyback_CCM</vt:lpstr>
      <vt:lpstr>Np_T_Flyback_DCM</vt:lpstr>
      <vt:lpstr>Ns1_FBack_Calc</vt:lpstr>
      <vt:lpstr>Ns1_FlyB</vt:lpstr>
      <vt:lpstr>Ns1_FlyB_Calc</vt:lpstr>
      <vt:lpstr>Ns1_Flyback</vt:lpstr>
      <vt:lpstr>Ns1_FlyBB</vt:lpstr>
      <vt:lpstr>Ns1_FlyBB_Calc</vt:lpstr>
      <vt:lpstr>Ns2_FBack_Calc</vt:lpstr>
      <vt:lpstr>Ns2_FlyB</vt:lpstr>
      <vt:lpstr>Ns2_FlyB_Calc</vt:lpstr>
      <vt:lpstr>Ns2_Flyback</vt:lpstr>
      <vt:lpstr>Ns2_FlyBB</vt:lpstr>
      <vt:lpstr>Ns2_FlyBB_Calc</vt:lpstr>
      <vt:lpstr>Ns3_FBack_Calc</vt:lpstr>
      <vt:lpstr>Ns3_FlyB</vt:lpstr>
      <vt:lpstr>Ns3_FlyB_Calc</vt:lpstr>
      <vt:lpstr>Ns3_Flyback</vt:lpstr>
      <vt:lpstr>Ns3_FlyBB</vt:lpstr>
      <vt:lpstr>Ns3_FlyBB_Calc</vt:lpstr>
      <vt:lpstr>Ns4_FBack_Calc</vt:lpstr>
      <vt:lpstr>Ns4_FlyB</vt:lpstr>
      <vt:lpstr>Ns4_FlyB_Calc</vt:lpstr>
      <vt:lpstr>Ns4_Flyback</vt:lpstr>
      <vt:lpstr>Ns4_FlyBB</vt:lpstr>
      <vt:lpstr>Ns4_FlyBB_Calc</vt:lpstr>
      <vt:lpstr>Ns5_FBack_Calc</vt:lpstr>
      <vt:lpstr>Ns5_FlyB</vt:lpstr>
      <vt:lpstr>Ns5_FlyB_Calc</vt:lpstr>
      <vt:lpstr>Ns5_Flyback</vt:lpstr>
      <vt:lpstr>Ns5_FlyBB</vt:lpstr>
      <vt:lpstr>Ns5_FlyBB_Calc</vt:lpstr>
      <vt:lpstr>Ns6_FBack_Calc</vt:lpstr>
      <vt:lpstr>Ns6_FlyB</vt:lpstr>
      <vt:lpstr>Ns6_FlyB_Calc</vt:lpstr>
      <vt:lpstr>Ns6_Flyback</vt:lpstr>
      <vt:lpstr>Ns6_FlyBB</vt:lpstr>
      <vt:lpstr>Ns6_FlyBB_Calc</vt:lpstr>
      <vt:lpstr>NsAux_FBack_Calc</vt:lpstr>
      <vt:lpstr>NsAux_Flyback</vt:lpstr>
      <vt:lpstr>NVAUX_T_Flyback_CCM</vt:lpstr>
      <vt:lpstr>NVAUX_T_Flyback_DCM</vt:lpstr>
      <vt:lpstr>NVout1_T_FB</vt:lpstr>
      <vt:lpstr>NVout1_T_FBB</vt:lpstr>
      <vt:lpstr>NVout1_T_Flyback_CCM</vt:lpstr>
      <vt:lpstr>NVout1_T_Flyback_DCM</vt:lpstr>
      <vt:lpstr>NVout2_T_FB</vt:lpstr>
      <vt:lpstr>NVout2_T_FBB</vt:lpstr>
      <vt:lpstr>NVout2_T_Flyback_CCM</vt:lpstr>
      <vt:lpstr>NVout2_T_Flyback_DCM</vt:lpstr>
      <vt:lpstr>NVout3_T_FB</vt:lpstr>
      <vt:lpstr>NVout3_T_FBB</vt:lpstr>
      <vt:lpstr>NVout3_T_Flyback_CCM</vt:lpstr>
      <vt:lpstr>NVout3_T_Flyback_DCM</vt:lpstr>
      <vt:lpstr>NVout4_T_FB</vt:lpstr>
      <vt:lpstr>NVout4_T_FBB</vt:lpstr>
      <vt:lpstr>NVout4_T_Flyback_CCM</vt:lpstr>
      <vt:lpstr>NVout4_T_Flyback_DCM</vt:lpstr>
      <vt:lpstr>NVout5_T_FB</vt:lpstr>
      <vt:lpstr>NVout5_T_FBB</vt:lpstr>
      <vt:lpstr>NVout5_T_Flyback_CCM</vt:lpstr>
      <vt:lpstr>NVout5_T_Flyback_DCM</vt:lpstr>
      <vt:lpstr>NVout6_T_FB</vt:lpstr>
      <vt:lpstr>NVout6_T_FBB</vt:lpstr>
      <vt:lpstr>NVout6_T_Flyback_CCM</vt:lpstr>
      <vt:lpstr>NVout6_T_Flyback_DCM</vt:lpstr>
      <vt:lpstr>pcu</vt:lpstr>
      <vt:lpstr>pcu_100C</vt:lpstr>
      <vt:lpstr>Pcu_Loss_FB</vt:lpstr>
      <vt:lpstr>Pcu_Loss_FBB</vt:lpstr>
      <vt:lpstr>Pcu_Loss_Flyback_CCM</vt:lpstr>
      <vt:lpstr>Pcu_Loss_Flyback_DCM</vt:lpstr>
      <vt:lpstr>PermAir</vt:lpstr>
      <vt:lpstr>Pout_FB</vt:lpstr>
      <vt:lpstr>Pout_FBB</vt:lpstr>
      <vt:lpstr>Pout_Flyback</vt:lpstr>
      <vt:lpstr>Pout_Step</vt:lpstr>
      <vt:lpstr>Rac1_FB</vt:lpstr>
      <vt:lpstr>Rac1_FBB</vt:lpstr>
      <vt:lpstr>Rac1_Flyback_CCM</vt:lpstr>
      <vt:lpstr>Rac1_Flyback_DCM</vt:lpstr>
      <vt:lpstr>Rac2_FB</vt:lpstr>
      <vt:lpstr>Rac2_FBB</vt:lpstr>
      <vt:lpstr>Rac2_Flyback_CCM</vt:lpstr>
      <vt:lpstr>Rac2_Flyback_DCM</vt:lpstr>
      <vt:lpstr>Rac3_FB</vt:lpstr>
      <vt:lpstr>Rac3_FBB</vt:lpstr>
      <vt:lpstr>Rac3_Flyback_CCM</vt:lpstr>
      <vt:lpstr>Rac3_Flyback_DCM</vt:lpstr>
      <vt:lpstr>Rac4_FB</vt:lpstr>
      <vt:lpstr>Rac4_FBB</vt:lpstr>
      <vt:lpstr>Rac4_Flyback_CCM</vt:lpstr>
      <vt:lpstr>Rac4_Flyback_DCM</vt:lpstr>
      <vt:lpstr>Rac5_FB</vt:lpstr>
      <vt:lpstr>Rac5_FBB</vt:lpstr>
      <vt:lpstr>Rac5_Flyback_CCM</vt:lpstr>
      <vt:lpstr>Rac5_Flyback_DCM</vt:lpstr>
      <vt:lpstr>Rac6_FB</vt:lpstr>
      <vt:lpstr>Rac6_FBB</vt:lpstr>
      <vt:lpstr>Rac6_Flyback_CCM</vt:lpstr>
      <vt:lpstr>Rac6_Flyback_DCM</vt:lpstr>
      <vt:lpstr>RacAUX_Flyback_CCM</vt:lpstr>
      <vt:lpstr>RacAUX_Flyback_DCM</vt:lpstr>
      <vt:lpstr>RacPri_FB</vt:lpstr>
      <vt:lpstr>RacPri_FBB</vt:lpstr>
      <vt:lpstr>RacPri_Flyback_CCM</vt:lpstr>
      <vt:lpstr>RacPri_Flyback_DCM</vt:lpstr>
      <vt:lpstr>Rdc1_FB</vt:lpstr>
      <vt:lpstr>Rdc1_FBB</vt:lpstr>
      <vt:lpstr>Rdc1_Flyback_CCM</vt:lpstr>
      <vt:lpstr>Rdc1_Flyback_DCM</vt:lpstr>
      <vt:lpstr>Rdc2_FB</vt:lpstr>
      <vt:lpstr>Rdc2_FBB</vt:lpstr>
      <vt:lpstr>Rdc2_Flyback_CCM</vt:lpstr>
      <vt:lpstr>Rdc2_Flyback_DCM</vt:lpstr>
      <vt:lpstr>Rdc3_FB</vt:lpstr>
      <vt:lpstr>Rdc3_FBB</vt:lpstr>
      <vt:lpstr>Rdc3_Flyback_CCM</vt:lpstr>
      <vt:lpstr>Rdc3_Flyback_DCM</vt:lpstr>
      <vt:lpstr>Rdc4_FB</vt:lpstr>
      <vt:lpstr>Rdc4_FBB</vt:lpstr>
      <vt:lpstr>Rdc4_Flyback_CCM</vt:lpstr>
      <vt:lpstr>Rdc4_Flyback_DCM</vt:lpstr>
      <vt:lpstr>Rdc5_FB</vt:lpstr>
      <vt:lpstr>Rdc5_FBB</vt:lpstr>
      <vt:lpstr>Rdc5_Flyback_CCM</vt:lpstr>
      <vt:lpstr>Rdc5_Flyback_DCM</vt:lpstr>
      <vt:lpstr>Rdc6_FB</vt:lpstr>
      <vt:lpstr>Rdc6_FBB</vt:lpstr>
      <vt:lpstr>Rdc6_Flyback_CCM</vt:lpstr>
      <vt:lpstr>Rdc6_Flyback_DCM</vt:lpstr>
      <vt:lpstr>RdcAUX_Flyback_CCM</vt:lpstr>
      <vt:lpstr>RdcAUX_Flyback_DCM</vt:lpstr>
      <vt:lpstr>RdcPri_FB</vt:lpstr>
      <vt:lpstr>RdcPri_FBB</vt:lpstr>
      <vt:lpstr>RdcPri_Flyback_CCM</vt:lpstr>
      <vt:lpstr>RdcPri_Flyback_DCM</vt:lpstr>
      <vt:lpstr>RR</vt:lpstr>
      <vt:lpstr>T_Index_FB</vt:lpstr>
      <vt:lpstr>T_Index_FBB</vt:lpstr>
      <vt:lpstr>T_Index_Flyback_CCM</vt:lpstr>
      <vt:lpstr>T_Index_Flyback_DCM</vt:lpstr>
      <vt:lpstr>T_Rise_Fall</vt:lpstr>
      <vt:lpstr>TC_3C92</vt:lpstr>
      <vt:lpstr>TC_3C96</vt:lpstr>
      <vt:lpstr>TC_3F35</vt:lpstr>
      <vt:lpstr>TC_3F36</vt:lpstr>
      <vt:lpstr>Vclamp_Flyback_CCM</vt:lpstr>
      <vt:lpstr>Vclamp_Flyback_DCM</vt:lpstr>
      <vt:lpstr>Vdiode1</vt:lpstr>
      <vt:lpstr>Vdiode2</vt:lpstr>
      <vt:lpstr>Vdiode3</vt:lpstr>
      <vt:lpstr>Vdiode4</vt:lpstr>
      <vt:lpstr>Vdiode5</vt:lpstr>
      <vt:lpstr>Vdiode6</vt:lpstr>
      <vt:lpstr>VdiodeAux</vt:lpstr>
      <vt:lpstr>Ve_FB</vt:lpstr>
      <vt:lpstr>Ve_FBB</vt:lpstr>
      <vt:lpstr>Ve_Flyback_CCM</vt:lpstr>
      <vt:lpstr>Ve_Flyback_DCM</vt:lpstr>
      <vt:lpstr>VinMax</vt:lpstr>
      <vt:lpstr>VinMin</vt:lpstr>
      <vt:lpstr>VinNom</vt:lpstr>
      <vt:lpstr>Vout1</vt:lpstr>
      <vt:lpstr>Vout1_Ripple</vt:lpstr>
      <vt:lpstr>Vout2</vt:lpstr>
      <vt:lpstr>Vout2_Ripple</vt:lpstr>
      <vt:lpstr>Vout3</vt:lpstr>
      <vt:lpstr>Vout3_Ripple</vt:lpstr>
      <vt:lpstr>Vout4</vt:lpstr>
      <vt:lpstr>Vout4_Ripple</vt:lpstr>
      <vt:lpstr>Vout5</vt:lpstr>
      <vt:lpstr>Vout5_Ripple</vt:lpstr>
      <vt:lpstr>Vout6</vt:lpstr>
      <vt:lpstr>Vout6_Ripple</vt:lpstr>
      <vt:lpstr>VOUTAUX</vt:lpstr>
      <vt:lpstr>VoutAUX_Ripple</vt:lpstr>
      <vt:lpstr>VoutPri_FB</vt:lpstr>
      <vt:lpstr>VoutPri_FBB</vt:lpstr>
      <vt:lpstr>VoutPri_Ripple_FB</vt:lpstr>
      <vt:lpstr>VoutPri_Ripple_FBB</vt:lpstr>
      <vt:lpstr>'Fly-Buck_Max'!Vpri</vt:lpstr>
      <vt:lpstr>Wa_FB</vt:lpstr>
      <vt:lpstr>Wa_FBB</vt:lpstr>
      <vt:lpstr>Wa_Flyback_CCM</vt:lpstr>
      <vt:lpstr>Wa_Flyback_DCM</vt:lpstr>
      <vt:lpstr>x_3C92</vt:lpstr>
      <vt:lpstr>x_3C96</vt:lpstr>
      <vt:lpstr>x_3F35</vt:lpstr>
      <vt:lpstr>x_3F36</vt:lpstr>
      <vt:lpstr>y_3C92</vt:lpstr>
      <vt:lpstr>y_3C96</vt:lpstr>
      <vt:lpstr>y_3F35</vt:lpstr>
      <vt:lpstr>y_3F36</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PPD-NPS</cp:lastModifiedBy>
  <dcterms:created xsi:type="dcterms:W3CDTF">2015-07-21T23:21:43Z</dcterms:created>
  <dcterms:modified xsi:type="dcterms:W3CDTF">2016-01-05T21:07:14Z</dcterms:modified>
</cp:coreProperties>
</file>