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RBerring\ecad\projects\Apollo\HHC 12V Buck Regulator Circuit\design\"/>
    </mc:Choice>
  </mc:AlternateContent>
  <xr:revisionPtr revIDLastSave="0" documentId="13_ncr:1_{F0302C79-DDED-4B4D-9C9C-559FB49AF536}" xr6:coauthVersionLast="46" xr6:coauthVersionMax="46" xr10:uidLastSave="{00000000-0000-0000-0000-000000000000}"/>
  <bookViews>
    <workbookView xWindow="5496" yWindow="3132" windowWidth="34560" windowHeight="18588" activeTab="2" xr2:uid="{00000000-000D-0000-FFFF-FFFF00000000}"/>
  </bookViews>
  <sheets>
    <sheet name="Design +12V; L=15uH" sheetId="3" r:id="rId1"/>
    <sheet name="Design +5V; L=15uH" sheetId="5" r:id="rId2"/>
    <sheet name="Design +5V; L=15uH 0.25A" sheetId="6" r:id="rId3"/>
    <sheet name="Design +12V; L=10uH" sheetId="4" r:id="rId4"/>
    <sheet name="LM5117 Datasheet" sheetId="2" r:id="rId5"/>
  </sheets>
  <definedNames>
    <definedName name="_xlnm._FilterDatabase" localSheetId="0" hidden="1">'Design +12V; L=15uH'!$B$2:$U$104</definedName>
    <definedName name="_xlnm._FilterDatabase" localSheetId="1" hidden="1">'Design +5V; L=15uH'!$B$2:$U$104</definedName>
    <definedName name="_xlnm._FilterDatabase" localSheetId="2" hidden="1">'Design +5V; L=15uH 0.25A'!$B$2:$U$104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4" i="6" l="1"/>
  <c r="N104" i="6"/>
  <c r="M104" i="6"/>
  <c r="L104" i="6"/>
  <c r="K104" i="6"/>
  <c r="J104" i="6"/>
  <c r="O102" i="6"/>
  <c r="N102" i="6"/>
  <c r="M102" i="6"/>
  <c r="L102" i="6"/>
  <c r="K102" i="6"/>
  <c r="J102" i="6"/>
  <c r="O101" i="6"/>
  <c r="N101" i="6"/>
  <c r="M101" i="6"/>
  <c r="L101" i="6"/>
  <c r="K101" i="6"/>
  <c r="J101" i="6"/>
  <c r="O100" i="6"/>
  <c r="N100" i="6"/>
  <c r="M100" i="6"/>
  <c r="L100" i="6"/>
  <c r="K100" i="6"/>
  <c r="J100" i="6"/>
  <c r="O99" i="6"/>
  <c r="N99" i="6"/>
  <c r="M99" i="6"/>
  <c r="L99" i="6"/>
  <c r="K99" i="6"/>
  <c r="J99" i="6"/>
  <c r="O97" i="6"/>
  <c r="N97" i="6"/>
  <c r="M97" i="6"/>
  <c r="L97" i="6"/>
  <c r="K97" i="6"/>
  <c r="J97" i="6"/>
  <c r="O96" i="6"/>
  <c r="N96" i="6"/>
  <c r="M96" i="6"/>
  <c r="L96" i="6"/>
  <c r="K96" i="6"/>
  <c r="J96" i="6"/>
  <c r="O95" i="6"/>
  <c r="N95" i="6"/>
  <c r="M95" i="6"/>
  <c r="L95" i="6"/>
  <c r="K95" i="6"/>
  <c r="J95" i="6"/>
  <c r="O93" i="6"/>
  <c r="N93" i="6"/>
  <c r="M93" i="6"/>
  <c r="L93" i="6"/>
  <c r="K93" i="6"/>
  <c r="J93" i="6"/>
  <c r="O92" i="6"/>
  <c r="N92" i="6"/>
  <c r="M92" i="6"/>
  <c r="L92" i="6"/>
  <c r="K92" i="6"/>
  <c r="J92" i="6"/>
  <c r="O90" i="6"/>
  <c r="N90" i="6"/>
  <c r="M90" i="6"/>
  <c r="L90" i="6"/>
  <c r="K90" i="6"/>
  <c r="J90" i="6"/>
  <c r="O89" i="6"/>
  <c r="N89" i="6"/>
  <c r="M89" i="6"/>
  <c r="L89" i="6"/>
  <c r="K89" i="6"/>
  <c r="J89" i="6"/>
  <c r="O88" i="6"/>
  <c r="N88" i="6"/>
  <c r="M88" i="6"/>
  <c r="L88" i="6"/>
  <c r="K88" i="6"/>
  <c r="J88" i="6"/>
  <c r="N85" i="6"/>
  <c r="M85" i="6"/>
  <c r="L85" i="6"/>
  <c r="K85" i="6"/>
  <c r="N84" i="6"/>
  <c r="M84" i="6"/>
  <c r="L84" i="6"/>
  <c r="K84" i="6"/>
  <c r="C84" i="6"/>
  <c r="J84" i="6" s="1"/>
  <c r="O83" i="6"/>
  <c r="N83" i="6"/>
  <c r="M83" i="6"/>
  <c r="L83" i="6"/>
  <c r="K83" i="6"/>
  <c r="C83" i="6"/>
  <c r="J83" i="6" s="1"/>
  <c r="N82" i="6"/>
  <c r="M82" i="6"/>
  <c r="L82" i="6"/>
  <c r="K82" i="6"/>
  <c r="O81" i="6"/>
  <c r="N81" i="6"/>
  <c r="M81" i="6"/>
  <c r="L81" i="6"/>
  <c r="K81" i="6"/>
  <c r="J81" i="6"/>
  <c r="O80" i="6"/>
  <c r="N80" i="6"/>
  <c r="M80" i="6"/>
  <c r="L80" i="6"/>
  <c r="K80" i="6"/>
  <c r="J80" i="6"/>
  <c r="N79" i="6"/>
  <c r="M79" i="6"/>
  <c r="L79" i="6"/>
  <c r="K79" i="6"/>
  <c r="O78" i="6"/>
  <c r="N78" i="6"/>
  <c r="M78" i="6"/>
  <c r="L78" i="6"/>
  <c r="K78" i="6"/>
  <c r="J78" i="6"/>
  <c r="O77" i="6"/>
  <c r="N77" i="6"/>
  <c r="M77" i="6"/>
  <c r="L77" i="6"/>
  <c r="K77" i="6"/>
  <c r="J77" i="6"/>
  <c r="N76" i="6"/>
  <c r="M76" i="6"/>
  <c r="L76" i="6"/>
  <c r="K76" i="6"/>
  <c r="O75" i="6"/>
  <c r="N75" i="6"/>
  <c r="M75" i="6"/>
  <c r="L75" i="6"/>
  <c r="K75" i="6"/>
  <c r="J75" i="6"/>
  <c r="N74" i="6"/>
  <c r="M74" i="6"/>
  <c r="L74" i="6"/>
  <c r="K74" i="6"/>
  <c r="O73" i="6"/>
  <c r="N73" i="6"/>
  <c r="M73" i="6"/>
  <c r="L73" i="6"/>
  <c r="K73" i="6"/>
  <c r="J73" i="6"/>
  <c r="N72" i="6"/>
  <c r="M72" i="6"/>
  <c r="L72" i="6"/>
  <c r="K72" i="6"/>
  <c r="N71" i="6"/>
  <c r="M71" i="6"/>
  <c r="L71" i="6"/>
  <c r="K71" i="6"/>
  <c r="J71" i="6"/>
  <c r="C71" i="6"/>
  <c r="O71" i="6" s="1"/>
  <c r="O70" i="6"/>
  <c r="N70" i="6"/>
  <c r="M70" i="6"/>
  <c r="L70" i="6"/>
  <c r="K70" i="6"/>
  <c r="J70" i="6"/>
  <c r="O69" i="6"/>
  <c r="N69" i="6"/>
  <c r="M69" i="6"/>
  <c r="L69" i="6"/>
  <c r="K69" i="6"/>
  <c r="J69" i="6"/>
  <c r="N68" i="6"/>
  <c r="M68" i="6"/>
  <c r="L68" i="6"/>
  <c r="K68" i="6"/>
  <c r="N67" i="6"/>
  <c r="M67" i="6"/>
  <c r="L67" i="6"/>
  <c r="K67" i="6"/>
  <c r="C67" i="6"/>
  <c r="C85" i="6" s="1"/>
  <c r="N66" i="6"/>
  <c r="M66" i="6"/>
  <c r="L66" i="6"/>
  <c r="K66" i="6"/>
  <c r="N65" i="6"/>
  <c r="M65" i="6"/>
  <c r="L65" i="6"/>
  <c r="K65" i="6"/>
  <c r="O64" i="6"/>
  <c r="N64" i="6"/>
  <c r="M64" i="6"/>
  <c r="L64" i="6"/>
  <c r="K64" i="6"/>
  <c r="J64" i="6"/>
  <c r="O63" i="6"/>
  <c r="N63" i="6"/>
  <c r="M63" i="6"/>
  <c r="L63" i="6"/>
  <c r="K63" i="6"/>
  <c r="C63" i="6"/>
  <c r="C66" i="6" s="1"/>
  <c r="O62" i="6"/>
  <c r="N62" i="6"/>
  <c r="M62" i="6"/>
  <c r="L62" i="6"/>
  <c r="K62" i="6"/>
  <c r="J62" i="6"/>
  <c r="O61" i="6"/>
  <c r="N61" i="6"/>
  <c r="M61" i="6"/>
  <c r="L61" i="6"/>
  <c r="K61" i="6"/>
  <c r="J61" i="6"/>
  <c r="N60" i="6"/>
  <c r="M60" i="6"/>
  <c r="L60" i="6"/>
  <c r="K60" i="6"/>
  <c r="O59" i="6"/>
  <c r="N59" i="6"/>
  <c r="M59" i="6"/>
  <c r="L59" i="6"/>
  <c r="K59" i="6"/>
  <c r="J59" i="6"/>
  <c r="O58" i="6"/>
  <c r="N58" i="6"/>
  <c r="M58" i="6"/>
  <c r="L58" i="6"/>
  <c r="K58" i="6"/>
  <c r="J58" i="6"/>
  <c r="O57" i="6"/>
  <c r="N57" i="6"/>
  <c r="M57" i="6"/>
  <c r="L57" i="6"/>
  <c r="K57" i="6"/>
  <c r="J57" i="6"/>
  <c r="G55" i="6"/>
  <c r="N55" i="6" s="1"/>
  <c r="F55" i="6"/>
  <c r="M55" i="6" s="1"/>
  <c r="E55" i="6"/>
  <c r="L55" i="6" s="1"/>
  <c r="D55" i="6"/>
  <c r="K55" i="6" s="1"/>
  <c r="C55" i="6"/>
  <c r="O55" i="6" s="1"/>
  <c r="G54" i="6"/>
  <c r="N54" i="6" s="1"/>
  <c r="F54" i="6"/>
  <c r="F56" i="6" s="1"/>
  <c r="M56" i="6" s="1"/>
  <c r="N53" i="6"/>
  <c r="L53" i="6"/>
  <c r="G53" i="6"/>
  <c r="F53" i="6"/>
  <c r="M53" i="6" s="1"/>
  <c r="E53" i="6"/>
  <c r="O52" i="6"/>
  <c r="J52" i="6"/>
  <c r="G52" i="6"/>
  <c r="N52" i="6" s="1"/>
  <c r="F52" i="6"/>
  <c r="M52" i="6" s="1"/>
  <c r="E52" i="6"/>
  <c r="L52" i="6" s="1"/>
  <c r="D52" i="6"/>
  <c r="K52" i="6" s="1"/>
  <c r="O51" i="6"/>
  <c r="M51" i="6"/>
  <c r="L51" i="6"/>
  <c r="K51" i="6"/>
  <c r="G51" i="6"/>
  <c r="N51" i="6" s="1"/>
  <c r="F51" i="6"/>
  <c r="E51" i="6"/>
  <c r="E54" i="6" s="1"/>
  <c r="D51" i="6"/>
  <c r="D54" i="6" s="1"/>
  <c r="C51" i="6"/>
  <c r="J51" i="6" s="1"/>
  <c r="O50" i="6"/>
  <c r="L50" i="6"/>
  <c r="K50" i="6"/>
  <c r="J50" i="6"/>
  <c r="G50" i="6"/>
  <c r="N50" i="6" s="1"/>
  <c r="F50" i="6"/>
  <c r="M50" i="6" s="1"/>
  <c r="E50" i="6"/>
  <c r="D50" i="6"/>
  <c r="D53" i="6" s="1"/>
  <c r="K53" i="6" s="1"/>
  <c r="O49" i="6"/>
  <c r="N49" i="6"/>
  <c r="J49" i="6"/>
  <c r="G49" i="6"/>
  <c r="F49" i="6"/>
  <c r="M49" i="6" s="1"/>
  <c r="E49" i="6"/>
  <c r="L49" i="6" s="1"/>
  <c r="D49" i="6"/>
  <c r="K49" i="6" s="1"/>
  <c r="N48" i="6"/>
  <c r="M48" i="6"/>
  <c r="L48" i="6"/>
  <c r="K48" i="6"/>
  <c r="C48" i="6"/>
  <c r="O48" i="6" s="1"/>
  <c r="O47" i="6"/>
  <c r="N47" i="6"/>
  <c r="M47" i="6"/>
  <c r="L47" i="6"/>
  <c r="K47" i="6"/>
  <c r="J47" i="6"/>
  <c r="O46" i="6"/>
  <c r="N46" i="6"/>
  <c r="M46" i="6"/>
  <c r="L46" i="6"/>
  <c r="K46" i="6"/>
  <c r="J46" i="6"/>
  <c r="N45" i="6"/>
  <c r="M45" i="6"/>
  <c r="L45" i="6"/>
  <c r="K45" i="6"/>
  <c r="C45" i="6"/>
  <c r="J45" i="6" s="1"/>
  <c r="O44" i="6"/>
  <c r="N44" i="6"/>
  <c r="M44" i="6"/>
  <c r="L44" i="6"/>
  <c r="K44" i="6"/>
  <c r="J44" i="6"/>
  <c r="N43" i="6"/>
  <c r="M43" i="6"/>
  <c r="L43" i="6"/>
  <c r="K43" i="6"/>
  <c r="C43" i="6"/>
  <c r="J43" i="6" s="1"/>
  <c r="O42" i="6"/>
  <c r="N42" i="6"/>
  <c r="M42" i="6"/>
  <c r="L42" i="6"/>
  <c r="K42" i="6"/>
  <c r="J42" i="6"/>
  <c r="N41" i="6"/>
  <c r="M41" i="6"/>
  <c r="L41" i="6"/>
  <c r="K41" i="6"/>
  <c r="C41" i="6"/>
  <c r="J41" i="6" s="1"/>
  <c r="O40" i="6"/>
  <c r="N40" i="6"/>
  <c r="M40" i="6"/>
  <c r="L40" i="6"/>
  <c r="K40" i="6"/>
  <c r="J40" i="6"/>
  <c r="O39" i="6"/>
  <c r="N39" i="6"/>
  <c r="M39" i="6"/>
  <c r="L39" i="6"/>
  <c r="K39" i="6"/>
  <c r="J39" i="6"/>
  <c r="O38" i="6"/>
  <c r="N38" i="6"/>
  <c r="M38" i="6"/>
  <c r="L38" i="6"/>
  <c r="K38" i="6"/>
  <c r="J38" i="6"/>
  <c r="O37" i="6"/>
  <c r="N37" i="6"/>
  <c r="M37" i="6"/>
  <c r="L37" i="6"/>
  <c r="K37" i="6"/>
  <c r="J37" i="6"/>
  <c r="N36" i="6"/>
  <c r="M36" i="6"/>
  <c r="L36" i="6"/>
  <c r="K36" i="6"/>
  <c r="C36" i="6"/>
  <c r="O36" i="6" s="1"/>
  <c r="O35" i="6"/>
  <c r="N35" i="6"/>
  <c r="M35" i="6"/>
  <c r="L35" i="6"/>
  <c r="K35" i="6"/>
  <c r="J35" i="6"/>
  <c r="O34" i="6"/>
  <c r="N34" i="6"/>
  <c r="M34" i="6"/>
  <c r="L34" i="6"/>
  <c r="K34" i="6"/>
  <c r="J34" i="6"/>
  <c r="N33" i="6"/>
  <c r="M33" i="6"/>
  <c r="L33" i="6"/>
  <c r="K33" i="6"/>
  <c r="N32" i="6"/>
  <c r="M32" i="6"/>
  <c r="L32" i="6"/>
  <c r="K32" i="6"/>
  <c r="O31" i="6"/>
  <c r="N31" i="6"/>
  <c r="M31" i="6"/>
  <c r="L31" i="6"/>
  <c r="K31" i="6"/>
  <c r="J31" i="6"/>
  <c r="O30" i="6"/>
  <c r="N30" i="6"/>
  <c r="M30" i="6"/>
  <c r="L30" i="6"/>
  <c r="K30" i="6"/>
  <c r="J30" i="6"/>
  <c r="N29" i="6"/>
  <c r="M29" i="6"/>
  <c r="L29" i="6"/>
  <c r="K29" i="6"/>
  <c r="N28" i="6"/>
  <c r="M28" i="6"/>
  <c r="L28" i="6"/>
  <c r="K28" i="6"/>
  <c r="C28" i="6"/>
  <c r="J28" i="6" s="1"/>
  <c r="O27" i="6"/>
  <c r="N27" i="6"/>
  <c r="M27" i="6"/>
  <c r="L27" i="6"/>
  <c r="K27" i="6"/>
  <c r="J27" i="6"/>
  <c r="O26" i="6"/>
  <c r="N26" i="6"/>
  <c r="M26" i="6"/>
  <c r="L26" i="6"/>
  <c r="K26" i="6"/>
  <c r="J26" i="6"/>
  <c r="G24" i="6"/>
  <c r="G25" i="6" s="1"/>
  <c r="N25" i="6" s="1"/>
  <c r="F24" i="6"/>
  <c r="F25" i="6" s="1"/>
  <c r="M25" i="6" s="1"/>
  <c r="E24" i="6"/>
  <c r="L24" i="6" s="1"/>
  <c r="D24" i="6"/>
  <c r="D25" i="6" s="1"/>
  <c r="K25" i="6" s="1"/>
  <c r="O23" i="6"/>
  <c r="N23" i="6"/>
  <c r="M23" i="6"/>
  <c r="L23" i="6"/>
  <c r="K23" i="6"/>
  <c r="J23" i="6"/>
  <c r="O22" i="6"/>
  <c r="N22" i="6"/>
  <c r="M22" i="6"/>
  <c r="L22" i="6"/>
  <c r="K22" i="6"/>
  <c r="J22" i="6"/>
  <c r="O21" i="6"/>
  <c r="N21" i="6"/>
  <c r="M21" i="6"/>
  <c r="L21" i="6"/>
  <c r="K21" i="6"/>
  <c r="J21" i="6"/>
  <c r="N20" i="6"/>
  <c r="M20" i="6"/>
  <c r="L20" i="6"/>
  <c r="K20" i="6"/>
  <c r="N19" i="6"/>
  <c r="M19" i="6"/>
  <c r="L19" i="6"/>
  <c r="K19" i="6"/>
  <c r="C19" i="6"/>
  <c r="J19" i="6" s="1"/>
  <c r="O18" i="6"/>
  <c r="N18" i="6"/>
  <c r="M18" i="6"/>
  <c r="L18" i="6"/>
  <c r="K18" i="6"/>
  <c r="J18" i="6"/>
  <c r="O17" i="6"/>
  <c r="N17" i="6"/>
  <c r="M17" i="6"/>
  <c r="L17" i="6"/>
  <c r="K17" i="6"/>
  <c r="J17" i="6"/>
  <c r="N16" i="6"/>
  <c r="M16" i="6"/>
  <c r="L16" i="6"/>
  <c r="K16" i="6"/>
  <c r="C16" i="6"/>
  <c r="C20" i="6" s="1"/>
  <c r="O15" i="6"/>
  <c r="N15" i="6"/>
  <c r="M15" i="6"/>
  <c r="L15" i="6"/>
  <c r="K15" i="6"/>
  <c r="J15" i="6"/>
  <c r="O14" i="6"/>
  <c r="N14" i="6"/>
  <c r="M14" i="6"/>
  <c r="L14" i="6"/>
  <c r="K14" i="6"/>
  <c r="J14" i="6"/>
  <c r="C14" i="6"/>
  <c r="O13" i="6"/>
  <c r="N13" i="6"/>
  <c r="M13" i="6"/>
  <c r="L13" i="6"/>
  <c r="K13" i="6"/>
  <c r="J13" i="6"/>
  <c r="O12" i="6"/>
  <c r="N12" i="6"/>
  <c r="M12" i="6"/>
  <c r="L12" i="6"/>
  <c r="K12" i="6"/>
  <c r="J12" i="6"/>
  <c r="N11" i="6"/>
  <c r="M11" i="6"/>
  <c r="L11" i="6"/>
  <c r="K11" i="6"/>
  <c r="C11" i="6"/>
  <c r="J11" i="6" s="1"/>
  <c r="O10" i="6"/>
  <c r="N10" i="6"/>
  <c r="M10" i="6"/>
  <c r="L10" i="6"/>
  <c r="K10" i="6"/>
  <c r="J10" i="6"/>
  <c r="O9" i="6"/>
  <c r="N9" i="6"/>
  <c r="M9" i="6"/>
  <c r="L9" i="6"/>
  <c r="K9" i="6"/>
  <c r="J9" i="6"/>
  <c r="C9" i="6"/>
  <c r="O8" i="6"/>
  <c r="N8" i="6"/>
  <c r="M8" i="6"/>
  <c r="L8" i="6"/>
  <c r="K8" i="6"/>
  <c r="J8" i="6"/>
  <c r="O7" i="6"/>
  <c r="N7" i="6"/>
  <c r="M7" i="6"/>
  <c r="L7" i="6"/>
  <c r="K7" i="6"/>
  <c r="J7" i="6"/>
  <c r="O6" i="6"/>
  <c r="N6" i="6"/>
  <c r="M6" i="6"/>
  <c r="L6" i="6"/>
  <c r="K6" i="6"/>
  <c r="J6" i="6"/>
  <c r="O5" i="6"/>
  <c r="N5" i="6"/>
  <c r="M5" i="6"/>
  <c r="L5" i="6"/>
  <c r="K5" i="6"/>
  <c r="J5" i="6"/>
  <c r="O4" i="6"/>
  <c r="N4" i="6"/>
  <c r="M4" i="6"/>
  <c r="L4" i="6"/>
  <c r="K4" i="6"/>
  <c r="C4" i="6"/>
  <c r="J4" i="6" s="1"/>
  <c r="O3" i="6"/>
  <c r="N3" i="6"/>
  <c r="M3" i="6"/>
  <c r="L3" i="6"/>
  <c r="K3" i="6"/>
  <c r="C3" i="6"/>
  <c r="C32" i="6" s="1"/>
  <c r="C63" i="5"/>
  <c r="C65" i="5" s="1"/>
  <c r="O104" i="5"/>
  <c r="N104" i="5"/>
  <c r="M104" i="5"/>
  <c r="L104" i="5"/>
  <c r="K104" i="5"/>
  <c r="J104" i="5"/>
  <c r="O102" i="5"/>
  <c r="N102" i="5"/>
  <c r="M102" i="5"/>
  <c r="L102" i="5"/>
  <c r="K102" i="5"/>
  <c r="J102" i="5"/>
  <c r="O101" i="5"/>
  <c r="N101" i="5"/>
  <c r="M101" i="5"/>
  <c r="L101" i="5"/>
  <c r="K101" i="5"/>
  <c r="J101" i="5"/>
  <c r="O100" i="5"/>
  <c r="N100" i="5"/>
  <c r="M100" i="5"/>
  <c r="L100" i="5"/>
  <c r="K100" i="5"/>
  <c r="J100" i="5"/>
  <c r="O99" i="5"/>
  <c r="N99" i="5"/>
  <c r="M99" i="5"/>
  <c r="L99" i="5"/>
  <c r="K99" i="5"/>
  <c r="J99" i="5"/>
  <c r="O97" i="5"/>
  <c r="N97" i="5"/>
  <c r="M97" i="5"/>
  <c r="L97" i="5"/>
  <c r="K97" i="5"/>
  <c r="J97" i="5"/>
  <c r="O96" i="5"/>
  <c r="N96" i="5"/>
  <c r="M96" i="5"/>
  <c r="L96" i="5"/>
  <c r="K96" i="5"/>
  <c r="J96" i="5"/>
  <c r="O95" i="5"/>
  <c r="N95" i="5"/>
  <c r="M95" i="5"/>
  <c r="L95" i="5"/>
  <c r="K95" i="5"/>
  <c r="J95" i="5"/>
  <c r="O93" i="5"/>
  <c r="N93" i="5"/>
  <c r="M93" i="5"/>
  <c r="L93" i="5"/>
  <c r="K93" i="5"/>
  <c r="J93" i="5"/>
  <c r="O92" i="5"/>
  <c r="N92" i="5"/>
  <c r="M92" i="5"/>
  <c r="L92" i="5"/>
  <c r="K92" i="5"/>
  <c r="J92" i="5"/>
  <c r="O90" i="5"/>
  <c r="N90" i="5"/>
  <c r="M90" i="5"/>
  <c r="L90" i="5"/>
  <c r="K90" i="5"/>
  <c r="J90" i="5"/>
  <c r="O89" i="5"/>
  <c r="N89" i="5"/>
  <c r="M89" i="5"/>
  <c r="L89" i="5"/>
  <c r="K89" i="5"/>
  <c r="J89" i="5"/>
  <c r="O88" i="5"/>
  <c r="N88" i="5"/>
  <c r="M88" i="5"/>
  <c r="L88" i="5"/>
  <c r="K88" i="5"/>
  <c r="J88" i="5"/>
  <c r="N85" i="5"/>
  <c r="M85" i="5"/>
  <c r="L85" i="5"/>
  <c r="K85" i="5"/>
  <c r="N84" i="5"/>
  <c r="M84" i="5"/>
  <c r="L84" i="5"/>
  <c r="K84" i="5"/>
  <c r="J84" i="5"/>
  <c r="C84" i="5"/>
  <c r="O84" i="5" s="1"/>
  <c r="N83" i="5"/>
  <c r="M83" i="5"/>
  <c r="L83" i="5"/>
  <c r="K83" i="5"/>
  <c r="J83" i="5"/>
  <c r="C83" i="5"/>
  <c r="O83" i="5" s="1"/>
  <c r="N82" i="5"/>
  <c r="M82" i="5"/>
  <c r="L82" i="5"/>
  <c r="K82" i="5"/>
  <c r="O81" i="5"/>
  <c r="N81" i="5"/>
  <c r="M81" i="5"/>
  <c r="L81" i="5"/>
  <c r="K81" i="5"/>
  <c r="J81" i="5"/>
  <c r="O80" i="5"/>
  <c r="N80" i="5"/>
  <c r="M80" i="5"/>
  <c r="L80" i="5"/>
  <c r="K80" i="5"/>
  <c r="J80" i="5"/>
  <c r="N79" i="5"/>
  <c r="M79" i="5"/>
  <c r="L79" i="5"/>
  <c r="K79" i="5"/>
  <c r="O78" i="5"/>
  <c r="N78" i="5"/>
  <c r="M78" i="5"/>
  <c r="L78" i="5"/>
  <c r="K78" i="5"/>
  <c r="J78" i="5"/>
  <c r="O77" i="5"/>
  <c r="N77" i="5"/>
  <c r="M77" i="5"/>
  <c r="L77" i="5"/>
  <c r="K77" i="5"/>
  <c r="J77" i="5"/>
  <c r="N76" i="5"/>
  <c r="M76" i="5"/>
  <c r="L76" i="5"/>
  <c r="K76" i="5"/>
  <c r="O75" i="5"/>
  <c r="N75" i="5"/>
  <c r="M75" i="5"/>
  <c r="L75" i="5"/>
  <c r="K75" i="5"/>
  <c r="J75" i="5"/>
  <c r="N74" i="5"/>
  <c r="M74" i="5"/>
  <c r="L74" i="5"/>
  <c r="K74" i="5"/>
  <c r="O73" i="5"/>
  <c r="N73" i="5"/>
  <c r="M73" i="5"/>
  <c r="L73" i="5"/>
  <c r="K73" i="5"/>
  <c r="J73" i="5"/>
  <c r="N72" i="5"/>
  <c r="M72" i="5"/>
  <c r="L72" i="5"/>
  <c r="K72" i="5"/>
  <c r="N71" i="5"/>
  <c r="M71" i="5"/>
  <c r="L71" i="5"/>
  <c r="K71" i="5"/>
  <c r="C71" i="5"/>
  <c r="O71" i="5" s="1"/>
  <c r="O70" i="5"/>
  <c r="N70" i="5"/>
  <c r="M70" i="5"/>
  <c r="L70" i="5"/>
  <c r="K70" i="5"/>
  <c r="J70" i="5"/>
  <c r="O69" i="5"/>
  <c r="N69" i="5"/>
  <c r="M69" i="5"/>
  <c r="L69" i="5"/>
  <c r="K69" i="5"/>
  <c r="J69" i="5"/>
  <c r="N68" i="5"/>
  <c r="M68" i="5"/>
  <c r="L68" i="5"/>
  <c r="K68" i="5"/>
  <c r="N67" i="5"/>
  <c r="M67" i="5"/>
  <c r="L67" i="5"/>
  <c r="K67" i="5"/>
  <c r="J67" i="5"/>
  <c r="C67" i="5"/>
  <c r="N66" i="5"/>
  <c r="M66" i="5"/>
  <c r="L66" i="5"/>
  <c r="K66" i="5"/>
  <c r="N65" i="5"/>
  <c r="M65" i="5"/>
  <c r="L65" i="5"/>
  <c r="K65" i="5"/>
  <c r="O64" i="5"/>
  <c r="N64" i="5"/>
  <c r="M64" i="5"/>
  <c r="L64" i="5"/>
  <c r="K64" i="5"/>
  <c r="J64" i="5"/>
  <c r="O63" i="5"/>
  <c r="N63" i="5"/>
  <c r="M63" i="5"/>
  <c r="L63" i="5"/>
  <c r="K63" i="5"/>
  <c r="O62" i="5"/>
  <c r="N62" i="5"/>
  <c r="M62" i="5"/>
  <c r="L62" i="5"/>
  <c r="K62" i="5"/>
  <c r="J62" i="5"/>
  <c r="O61" i="5"/>
  <c r="N61" i="5"/>
  <c r="M61" i="5"/>
  <c r="L61" i="5"/>
  <c r="K61" i="5"/>
  <c r="J61" i="5"/>
  <c r="N60" i="5"/>
  <c r="M60" i="5"/>
  <c r="L60" i="5"/>
  <c r="K60" i="5"/>
  <c r="O59" i="5"/>
  <c r="N59" i="5"/>
  <c r="M59" i="5"/>
  <c r="L59" i="5"/>
  <c r="K59" i="5"/>
  <c r="J59" i="5"/>
  <c r="O58" i="5"/>
  <c r="N58" i="5"/>
  <c r="M58" i="5"/>
  <c r="L58" i="5"/>
  <c r="K58" i="5"/>
  <c r="J58" i="5"/>
  <c r="O57" i="5"/>
  <c r="N57" i="5"/>
  <c r="M57" i="5"/>
  <c r="L57" i="5"/>
  <c r="K57" i="5"/>
  <c r="J57" i="5"/>
  <c r="J56" i="5"/>
  <c r="C56" i="5"/>
  <c r="O56" i="5" s="1"/>
  <c r="L55" i="5"/>
  <c r="K55" i="5"/>
  <c r="G55" i="5"/>
  <c r="N55" i="5" s="1"/>
  <c r="F55" i="5"/>
  <c r="M55" i="5" s="1"/>
  <c r="E55" i="5"/>
  <c r="D55" i="5"/>
  <c r="C55" i="5"/>
  <c r="O55" i="5" s="1"/>
  <c r="O54" i="5"/>
  <c r="J54" i="5"/>
  <c r="F54" i="5"/>
  <c r="M54" i="5" s="1"/>
  <c r="C54" i="5"/>
  <c r="G53" i="5"/>
  <c r="N53" i="5" s="1"/>
  <c r="E53" i="5"/>
  <c r="L53" i="5" s="1"/>
  <c r="O52" i="5"/>
  <c r="J52" i="5"/>
  <c r="G52" i="5"/>
  <c r="N52" i="5" s="1"/>
  <c r="F52" i="5"/>
  <c r="M52" i="5" s="1"/>
  <c r="E52" i="5"/>
  <c r="L52" i="5" s="1"/>
  <c r="D52" i="5"/>
  <c r="K52" i="5" s="1"/>
  <c r="O51" i="5"/>
  <c r="M51" i="5"/>
  <c r="G51" i="5"/>
  <c r="G54" i="5" s="1"/>
  <c r="F51" i="5"/>
  <c r="E51" i="5"/>
  <c r="L51" i="5" s="1"/>
  <c r="D51" i="5"/>
  <c r="K51" i="5" s="1"/>
  <c r="C51" i="5"/>
  <c r="J51" i="5" s="1"/>
  <c r="O50" i="5"/>
  <c r="N50" i="5"/>
  <c r="L50" i="5"/>
  <c r="J50" i="5"/>
  <c r="G50" i="5"/>
  <c r="F50" i="5"/>
  <c r="F53" i="5" s="1"/>
  <c r="M53" i="5" s="1"/>
  <c r="E50" i="5"/>
  <c r="D50" i="5"/>
  <c r="K50" i="5" s="1"/>
  <c r="O49" i="5"/>
  <c r="M49" i="5"/>
  <c r="L49" i="5"/>
  <c r="J49" i="5"/>
  <c r="G49" i="5"/>
  <c r="N49" i="5" s="1"/>
  <c r="F49" i="5"/>
  <c r="E49" i="5"/>
  <c r="D49" i="5"/>
  <c r="K49" i="5" s="1"/>
  <c r="N48" i="5"/>
  <c r="M48" i="5"/>
  <c r="L48" i="5"/>
  <c r="K48" i="5"/>
  <c r="J48" i="5"/>
  <c r="C48" i="5"/>
  <c r="O48" i="5" s="1"/>
  <c r="O47" i="5"/>
  <c r="N47" i="5"/>
  <c r="M47" i="5"/>
  <c r="L47" i="5"/>
  <c r="K47" i="5"/>
  <c r="J47" i="5"/>
  <c r="O46" i="5"/>
  <c r="N46" i="5"/>
  <c r="M46" i="5"/>
  <c r="L46" i="5"/>
  <c r="K46" i="5"/>
  <c r="J46" i="5"/>
  <c r="O45" i="5"/>
  <c r="N45" i="5"/>
  <c r="M45" i="5"/>
  <c r="L45" i="5"/>
  <c r="K45" i="5"/>
  <c r="C45" i="5"/>
  <c r="J45" i="5" s="1"/>
  <c r="O44" i="5"/>
  <c r="N44" i="5"/>
  <c r="M44" i="5"/>
  <c r="L44" i="5"/>
  <c r="K44" i="5"/>
  <c r="J44" i="5"/>
  <c r="N43" i="5"/>
  <c r="M43" i="5"/>
  <c r="L43" i="5"/>
  <c r="K43" i="5"/>
  <c r="C43" i="5"/>
  <c r="O43" i="5" s="1"/>
  <c r="O42" i="5"/>
  <c r="N42" i="5"/>
  <c r="M42" i="5"/>
  <c r="L42" i="5"/>
  <c r="K42" i="5"/>
  <c r="J42" i="5"/>
  <c r="O41" i="5"/>
  <c r="N41" i="5"/>
  <c r="M41" i="5"/>
  <c r="L41" i="5"/>
  <c r="K41" i="5"/>
  <c r="J41" i="5"/>
  <c r="C41" i="5"/>
  <c r="O40" i="5"/>
  <c r="N40" i="5"/>
  <c r="M40" i="5"/>
  <c r="L40" i="5"/>
  <c r="K40" i="5"/>
  <c r="J40" i="5"/>
  <c r="O39" i="5"/>
  <c r="N39" i="5"/>
  <c r="M39" i="5"/>
  <c r="L39" i="5"/>
  <c r="K39" i="5"/>
  <c r="J39" i="5"/>
  <c r="O38" i="5"/>
  <c r="N38" i="5"/>
  <c r="M38" i="5"/>
  <c r="L38" i="5"/>
  <c r="K38" i="5"/>
  <c r="J38" i="5"/>
  <c r="O37" i="5"/>
  <c r="N37" i="5"/>
  <c r="M37" i="5"/>
  <c r="L37" i="5"/>
  <c r="K37" i="5"/>
  <c r="J37" i="5"/>
  <c r="O36" i="5"/>
  <c r="N36" i="5"/>
  <c r="M36" i="5"/>
  <c r="L36" i="5"/>
  <c r="K36" i="5"/>
  <c r="J36" i="5"/>
  <c r="C36" i="5"/>
  <c r="O35" i="5"/>
  <c r="N35" i="5"/>
  <c r="M35" i="5"/>
  <c r="L35" i="5"/>
  <c r="K35" i="5"/>
  <c r="J35" i="5"/>
  <c r="O34" i="5"/>
  <c r="N34" i="5"/>
  <c r="M34" i="5"/>
  <c r="L34" i="5"/>
  <c r="K34" i="5"/>
  <c r="J34" i="5"/>
  <c r="N33" i="5"/>
  <c r="M33" i="5"/>
  <c r="L33" i="5"/>
  <c r="K33" i="5"/>
  <c r="N32" i="5"/>
  <c r="M32" i="5"/>
  <c r="L32" i="5"/>
  <c r="K32" i="5"/>
  <c r="O31" i="5"/>
  <c r="N31" i="5"/>
  <c r="M31" i="5"/>
  <c r="L31" i="5"/>
  <c r="K31" i="5"/>
  <c r="J31" i="5"/>
  <c r="O30" i="5"/>
  <c r="N30" i="5"/>
  <c r="M30" i="5"/>
  <c r="L30" i="5"/>
  <c r="K30" i="5"/>
  <c r="J30" i="5"/>
  <c r="N29" i="5"/>
  <c r="M29" i="5"/>
  <c r="L29" i="5"/>
  <c r="K29" i="5"/>
  <c r="N28" i="5"/>
  <c r="M28" i="5"/>
  <c r="L28" i="5"/>
  <c r="K28" i="5"/>
  <c r="C28" i="5"/>
  <c r="O28" i="5" s="1"/>
  <c r="O27" i="5"/>
  <c r="N27" i="5"/>
  <c r="M27" i="5"/>
  <c r="L27" i="5"/>
  <c r="K27" i="5"/>
  <c r="J27" i="5"/>
  <c r="O26" i="5"/>
  <c r="N26" i="5"/>
  <c r="M26" i="5"/>
  <c r="L26" i="5"/>
  <c r="K26" i="5"/>
  <c r="J26" i="5"/>
  <c r="G24" i="5"/>
  <c r="N24" i="5" s="1"/>
  <c r="F24" i="5"/>
  <c r="F25" i="5" s="1"/>
  <c r="M25" i="5" s="1"/>
  <c r="E24" i="5"/>
  <c r="L24" i="5" s="1"/>
  <c r="D24" i="5"/>
  <c r="D25" i="5" s="1"/>
  <c r="K25" i="5" s="1"/>
  <c r="O23" i="5"/>
  <c r="N23" i="5"/>
  <c r="M23" i="5"/>
  <c r="L23" i="5"/>
  <c r="K23" i="5"/>
  <c r="J23" i="5"/>
  <c r="O22" i="5"/>
  <c r="N22" i="5"/>
  <c r="M22" i="5"/>
  <c r="L22" i="5"/>
  <c r="K22" i="5"/>
  <c r="J22" i="5"/>
  <c r="O21" i="5"/>
  <c r="N21" i="5"/>
  <c r="M21" i="5"/>
  <c r="L21" i="5"/>
  <c r="K21" i="5"/>
  <c r="J21" i="5"/>
  <c r="N20" i="5"/>
  <c r="M20" i="5"/>
  <c r="L20" i="5"/>
  <c r="K20" i="5"/>
  <c r="O19" i="5"/>
  <c r="N19" i="5"/>
  <c r="M19" i="5"/>
  <c r="L19" i="5"/>
  <c r="K19" i="5"/>
  <c r="J19" i="5"/>
  <c r="C19" i="5"/>
  <c r="O18" i="5"/>
  <c r="N18" i="5"/>
  <c r="M18" i="5"/>
  <c r="L18" i="5"/>
  <c r="K18" i="5"/>
  <c r="J18" i="5"/>
  <c r="O17" i="5"/>
  <c r="N17" i="5"/>
  <c r="M17" i="5"/>
  <c r="L17" i="5"/>
  <c r="K17" i="5"/>
  <c r="J17" i="5"/>
  <c r="O16" i="5"/>
  <c r="N16" i="5"/>
  <c r="M16" i="5"/>
  <c r="L16" i="5"/>
  <c r="K16" i="5"/>
  <c r="J16" i="5"/>
  <c r="C16" i="5"/>
  <c r="O15" i="5"/>
  <c r="N15" i="5"/>
  <c r="M15" i="5"/>
  <c r="L15" i="5"/>
  <c r="K15" i="5"/>
  <c r="J15" i="5"/>
  <c r="N14" i="5"/>
  <c r="M14" i="5"/>
  <c r="L14" i="5"/>
  <c r="K14" i="5"/>
  <c r="C14" i="5"/>
  <c r="O14" i="5" s="1"/>
  <c r="O13" i="5"/>
  <c r="N13" i="5"/>
  <c r="M13" i="5"/>
  <c r="L13" i="5"/>
  <c r="K13" i="5"/>
  <c r="J13" i="5"/>
  <c r="O12" i="5"/>
  <c r="N12" i="5"/>
  <c r="M12" i="5"/>
  <c r="L12" i="5"/>
  <c r="K12" i="5"/>
  <c r="J12" i="5"/>
  <c r="N11" i="5"/>
  <c r="M11" i="5"/>
  <c r="L11" i="5"/>
  <c r="K11" i="5"/>
  <c r="N10" i="5"/>
  <c r="M10" i="5"/>
  <c r="L10" i="5"/>
  <c r="K10" i="5"/>
  <c r="C11" i="5"/>
  <c r="N9" i="5"/>
  <c r="M9" i="5"/>
  <c r="L9" i="5"/>
  <c r="K9" i="5"/>
  <c r="C9" i="5"/>
  <c r="J9" i="5" s="1"/>
  <c r="O8" i="5"/>
  <c r="N8" i="5"/>
  <c r="M8" i="5"/>
  <c r="L8" i="5"/>
  <c r="K8" i="5"/>
  <c r="J8" i="5"/>
  <c r="O7" i="5"/>
  <c r="N7" i="5"/>
  <c r="M7" i="5"/>
  <c r="L7" i="5"/>
  <c r="K7" i="5"/>
  <c r="J7" i="5"/>
  <c r="O6" i="5"/>
  <c r="N6" i="5"/>
  <c r="M6" i="5"/>
  <c r="L6" i="5"/>
  <c r="K6" i="5"/>
  <c r="J6" i="5"/>
  <c r="O5" i="5"/>
  <c r="N5" i="5"/>
  <c r="M5" i="5"/>
  <c r="L5" i="5"/>
  <c r="K5" i="5"/>
  <c r="J5" i="5"/>
  <c r="N4" i="5"/>
  <c r="M4" i="5"/>
  <c r="L4" i="5"/>
  <c r="K4" i="5"/>
  <c r="C4" i="5"/>
  <c r="O4" i="5" s="1"/>
  <c r="O3" i="5"/>
  <c r="N3" i="5"/>
  <c r="M3" i="5"/>
  <c r="L3" i="5"/>
  <c r="K3" i="5"/>
  <c r="J3" i="5"/>
  <c r="C3" i="5"/>
  <c r="C32" i="5" s="1"/>
  <c r="C10" i="3"/>
  <c r="O104" i="3"/>
  <c r="N104" i="3"/>
  <c r="M104" i="3"/>
  <c r="L104" i="3"/>
  <c r="K104" i="3"/>
  <c r="J104" i="3"/>
  <c r="O102" i="3"/>
  <c r="N102" i="3"/>
  <c r="M102" i="3"/>
  <c r="L102" i="3"/>
  <c r="K102" i="3"/>
  <c r="J102" i="3"/>
  <c r="O101" i="3"/>
  <c r="N101" i="3"/>
  <c r="M101" i="3"/>
  <c r="L101" i="3"/>
  <c r="K101" i="3"/>
  <c r="J101" i="3"/>
  <c r="O100" i="3"/>
  <c r="N100" i="3"/>
  <c r="M100" i="3"/>
  <c r="L100" i="3"/>
  <c r="K100" i="3"/>
  <c r="J100" i="3"/>
  <c r="O99" i="3"/>
  <c r="N99" i="3"/>
  <c r="M99" i="3"/>
  <c r="L99" i="3"/>
  <c r="K99" i="3"/>
  <c r="J99" i="3"/>
  <c r="O96" i="3"/>
  <c r="N96" i="3"/>
  <c r="M96" i="3"/>
  <c r="L96" i="3"/>
  <c r="K96" i="3"/>
  <c r="J96" i="3"/>
  <c r="O97" i="3"/>
  <c r="N97" i="3"/>
  <c r="M97" i="3"/>
  <c r="L97" i="3"/>
  <c r="K97" i="3"/>
  <c r="J97" i="3"/>
  <c r="O95" i="3"/>
  <c r="N95" i="3"/>
  <c r="M95" i="3"/>
  <c r="L95" i="3"/>
  <c r="K95" i="3"/>
  <c r="J95" i="3"/>
  <c r="O90" i="3"/>
  <c r="N90" i="3"/>
  <c r="M90" i="3"/>
  <c r="L90" i="3"/>
  <c r="K90" i="3"/>
  <c r="J90" i="3"/>
  <c r="O93" i="3"/>
  <c r="N93" i="3"/>
  <c r="M93" i="3"/>
  <c r="L93" i="3"/>
  <c r="K93" i="3"/>
  <c r="J93" i="3"/>
  <c r="O92" i="3"/>
  <c r="N92" i="3"/>
  <c r="M92" i="3"/>
  <c r="L92" i="3"/>
  <c r="K92" i="3"/>
  <c r="J92" i="3"/>
  <c r="O89" i="3"/>
  <c r="N89" i="3"/>
  <c r="M89" i="3"/>
  <c r="L89" i="3"/>
  <c r="K89" i="3"/>
  <c r="J89" i="3"/>
  <c r="O88" i="3"/>
  <c r="N88" i="3"/>
  <c r="M88" i="3"/>
  <c r="L88" i="3"/>
  <c r="K88" i="3"/>
  <c r="J88" i="3"/>
  <c r="N85" i="4"/>
  <c r="M85" i="4"/>
  <c r="L85" i="4"/>
  <c r="K85" i="4"/>
  <c r="O84" i="4"/>
  <c r="N84" i="4"/>
  <c r="M84" i="4"/>
  <c r="L84" i="4"/>
  <c r="K84" i="4"/>
  <c r="C84" i="4"/>
  <c r="J84" i="4" s="1"/>
  <c r="N83" i="4"/>
  <c r="M83" i="4"/>
  <c r="L83" i="4"/>
  <c r="K83" i="4"/>
  <c r="J83" i="4"/>
  <c r="C83" i="4"/>
  <c r="O83" i="4" s="1"/>
  <c r="N82" i="4"/>
  <c r="M82" i="4"/>
  <c r="L82" i="4"/>
  <c r="K82" i="4"/>
  <c r="O81" i="4"/>
  <c r="N81" i="4"/>
  <c r="M81" i="4"/>
  <c r="L81" i="4"/>
  <c r="K81" i="4"/>
  <c r="J81" i="4"/>
  <c r="O80" i="4"/>
  <c r="N80" i="4"/>
  <c r="M80" i="4"/>
  <c r="L80" i="4"/>
  <c r="K80" i="4"/>
  <c r="J80" i="4"/>
  <c r="N79" i="4"/>
  <c r="M79" i="4"/>
  <c r="L79" i="4"/>
  <c r="K79" i="4"/>
  <c r="O78" i="4"/>
  <c r="N78" i="4"/>
  <c r="M78" i="4"/>
  <c r="L78" i="4"/>
  <c r="K78" i="4"/>
  <c r="J78" i="4"/>
  <c r="O77" i="4"/>
  <c r="N77" i="4"/>
  <c r="M77" i="4"/>
  <c r="L77" i="4"/>
  <c r="K77" i="4"/>
  <c r="J77" i="4"/>
  <c r="N76" i="4"/>
  <c r="M76" i="4"/>
  <c r="L76" i="4"/>
  <c r="K76" i="4"/>
  <c r="O75" i="4"/>
  <c r="N75" i="4"/>
  <c r="M75" i="4"/>
  <c r="L75" i="4"/>
  <c r="K75" i="4"/>
  <c r="J75" i="4"/>
  <c r="N74" i="4"/>
  <c r="M74" i="4"/>
  <c r="L74" i="4"/>
  <c r="K74" i="4"/>
  <c r="O73" i="4"/>
  <c r="N73" i="4"/>
  <c r="M73" i="4"/>
  <c r="L73" i="4"/>
  <c r="K73" i="4"/>
  <c r="J73" i="4"/>
  <c r="N72" i="4"/>
  <c r="M72" i="4"/>
  <c r="L72" i="4"/>
  <c r="K72" i="4"/>
  <c r="O71" i="4"/>
  <c r="N71" i="4"/>
  <c r="M71" i="4"/>
  <c r="L71" i="4"/>
  <c r="K71" i="4"/>
  <c r="J71" i="4"/>
  <c r="C71" i="4"/>
  <c r="O70" i="4"/>
  <c r="N70" i="4"/>
  <c r="M70" i="4"/>
  <c r="L70" i="4"/>
  <c r="K70" i="4"/>
  <c r="J70" i="4"/>
  <c r="O69" i="4"/>
  <c r="N69" i="4"/>
  <c r="M69" i="4"/>
  <c r="L69" i="4"/>
  <c r="K69" i="4"/>
  <c r="J69" i="4"/>
  <c r="N68" i="4"/>
  <c r="M68" i="4"/>
  <c r="L68" i="4"/>
  <c r="K68" i="4"/>
  <c r="O67" i="4"/>
  <c r="N67" i="4"/>
  <c r="M67" i="4"/>
  <c r="L67" i="4"/>
  <c r="K67" i="4"/>
  <c r="J67" i="4"/>
  <c r="C67" i="4"/>
  <c r="C85" i="4" s="1"/>
  <c r="N66" i="4"/>
  <c r="M66" i="4"/>
  <c r="L66" i="4"/>
  <c r="K66" i="4"/>
  <c r="C66" i="4"/>
  <c r="C82" i="4" s="1"/>
  <c r="N65" i="4"/>
  <c r="M65" i="4"/>
  <c r="L65" i="4"/>
  <c r="K65" i="4"/>
  <c r="O64" i="4"/>
  <c r="N64" i="4"/>
  <c r="M64" i="4"/>
  <c r="L64" i="4"/>
  <c r="K64" i="4"/>
  <c r="J64" i="4"/>
  <c r="O63" i="4"/>
  <c r="N63" i="4"/>
  <c r="M63" i="4"/>
  <c r="L63" i="4"/>
  <c r="K63" i="4"/>
  <c r="C63" i="4"/>
  <c r="C65" i="4" s="1"/>
  <c r="O62" i="4"/>
  <c r="N62" i="4"/>
  <c r="M62" i="4"/>
  <c r="L62" i="4"/>
  <c r="K62" i="4"/>
  <c r="J62" i="4"/>
  <c r="O61" i="4"/>
  <c r="N61" i="4"/>
  <c r="M61" i="4"/>
  <c r="L61" i="4"/>
  <c r="K61" i="4"/>
  <c r="J61" i="4"/>
  <c r="N60" i="4"/>
  <c r="M60" i="4"/>
  <c r="L60" i="4"/>
  <c r="K60" i="4"/>
  <c r="O59" i="4"/>
  <c r="N59" i="4"/>
  <c r="M59" i="4"/>
  <c r="L59" i="4"/>
  <c r="K59" i="4"/>
  <c r="J59" i="4"/>
  <c r="O58" i="4"/>
  <c r="N58" i="4"/>
  <c r="M58" i="4"/>
  <c r="L58" i="4"/>
  <c r="K58" i="4"/>
  <c r="J58" i="4"/>
  <c r="O57" i="4"/>
  <c r="N57" i="4"/>
  <c r="M57" i="4"/>
  <c r="L57" i="4"/>
  <c r="K57" i="4"/>
  <c r="J57" i="4"/>
  <c r="N56" i="4"/>
  <c r="G56" i="4"/>
  <c r="O55" i="4"/>
  <c r="M55" i="4"/>
  <c r="L55" i="4"/>
  <c r="J55" i="4"/>
  <c r="G55" i="4"/>
  <c r="N55" i="4" s="1"/>
  <c r="F55" i="4"/>
  <c r="E55" i="4"/>
  <c r="D55" i="4"/>
  <c r="K55" i="4" s="1"/>
  <c r="C55" i="4"/>
  <c r="N54" i="4"/>
  <c r="G54" i="4"/>
  <c r="M53" i="4"/>
  <c r="F53" i="4"/>
  <c r="O52" i="4"/>
  <c r="M52" i="4"/>
  <c r="L52" i="4"/>
  <c r="J52" i="4"/>
  <c r="G52" i="4"/>
  <c r="N52" i="4" s="1"/>
  <c r="F52" i="4"/>
  <c r="E52" i="4"/>
  <c r="D52" i="4"/>
  <c r="K52" i="4" s="1"/>
  <c r="O51" i="4"/>
  <c r="K51" i="4"/>
  <c r="J51" i="4"/>
  <c r="G51" i="4"/>
  <c r="N51" i="4" s="1"/>
  <c r="F51" i="4"/>
  <c r="F54" i="4" s="1"/>
  <c r="E51" i="4"/>
  <c r="E54" i="4" s="1"/>
  <c r="D51" i="4"/>
  <c r="D54" i="4" s="1"/>
  <c r="C51" i="4"/>
  <c r="C53" i="4" s="1"/>
  <c r="O50" i="4"/>
  <c r="J50" i="4"/>
  <c r="G50" i="4"/>
  <c r="G53" i="4" s="1"/>
  <c r="N53" i="4" s="1"/>
  <c r="F50" i="4"/>
  <c r="M50" i="4" s="1"/>
  <c r="E50" i="4"/>
  <c r="E53" i="4" s="1"/>
  <c r="L53" i="4" s="1"/>
  <c r="D50" i="4"/>
  <c r="D53" i="4" s="1"/>
  <c r="K53" i="4" s="1"/>
  <c r="O49" i="4"/>
  <c r="N49" i="4"/>
  <c r="J49" i="4"/>
  <c r="G49" i="4"/>
  <c r="F49" i="4"/>
  <c r="M49" i="4" s="1"/>
  <c r="E49" i="4"/>
  <c r="L49" i="4" s="1"/>
  <c r="D49" i="4"/>
  <c r="K49" i="4" s="1"/>
  <c r="O48" i="4"/>
  <c r="N48" i="4"/>
  <c r="M48" i="4"/>
  <c r="L48" i="4"/>
  <c r="K48" i="4"/>
  <c r="J48" i="4"/>
  <c r="C48" i="4"/>
  <c r="O47" i="4"/>
  <c r="N47" i="4"/>
  <c r="M47" i="4"/>
  <c r="L47" i="4"/>
  <c r="K47" i="4"/>
  <c r="J47" i="4"/>
  <c r="O46" i="4"/>
  <c r="N46" i="4"/>
  <c r="M46" i="4"/>
  <c r="L46" i="4"/>
  <c r="K46" i="4"/>
  <c r="J46" i="4"/>
  <c r="N45" i="4"/>
  <c r="M45" i="4"/>
  <c r="L45" i="4"/>
  <c r="K45" i="4"/>
  <c r="C45" i="4"/>
  <c r="O45" i="4" s="1"/>
  <c r="O44" i="4"/>
  <c r="N44" i="4"/>
  <c r="M44" i="4"/>
  <c r="L44" i="4"/>
  <c r="K44" i="4"/>
  <c r="J44" i="4"/>
  <c r="N43" i="4"/>
  <c r="M43" i="4"/>
  <c r="L43" i="4"/>
  <c r="K43" i="4"/>
  <c r="J43" i="4"/>
  <c r="C43" i="4"/>
  <c r="O43" i="4" s="1"/>
  <c r="O42" i="4"/>
  <c r="N42" i="4"/>
  <c r="M42" i="4"/>
  <c r="L42" i="4"/>
  <c r="K42" i="4"/>
  <c r="J42" i="4"/>
  <c r="O41" i="4"/>
  <c r="N41" i="4"/>
  <c r="M41" i="4"/>
  <c r="L41" i="4"/>
  <c r="K41" i="4"/>
  <c r="C41" i="4"/>
  <c r="J41" i="4" s="1"/>
  <c r="O40" i="4"/>
  <c r="N40" i="4"/>
  <c r="M40" i="4"/>
  <c r="L40" i="4"/>
  <c r="K40" i="4"/>
  <c r="J40" i="4"/>
  <c r="O39" i="4"/>
  <c r="N39" i="4"/>
  <c r="M39" i="4"/>
  <c r="L39" i="4"/>
  <c r="K39" i="4"/>
  <c r="J39" i="4"/>
  <c r="O38" i="4"/>
  <c r="N38" i="4"/>
  <c r="M38" i="4"/>
  <c r="L38" i="4"/>
  <c r="K38" i="4"/>
  <c r="J38" i="4"/>
  <c r="O37" i="4"/>
  <c r="N37" i="4"/>
  <c r="M37" i="4"/>
  <c r="L37" i="4"/>
  <c r="K37" i="4"/>
  <c r="J37" i="4"/>
  <c r="N36" i="4"/>
  <c r="M36" i="4"/>
  <c r="L36" i="4"/>
  <c r="K36" i="4"/>
  <c r="J36" i="4"/>
  <c r="C36" i="4"/>
  <c r="O36" i="4" s="1"/>
  <c r="O35" i="4"/>
  <c r="N35" i="4"/>
  <c r="M35" i="4"/>
  <c r="L35" i="4"/>
  <c r="K35" i="4"/>
  <c r="J35" i="4"/>
  <c r="O34" i="4"/>
  <c r="N34" i="4"/>
  <c r="M34" i="4"/>
  <c r="L34" i="4"/>
  <c r="K34" i="4"/>
  <c r="J34" i="4"/>
  <c r="N33" i="4"/>
  <c r="M33" i="4"/>
  <c r="L33" i="4"/>
  <c r="K33" i="4"/>
  <c r="N32" i="4"/>
  <c r="M32" i="4"/>
  <c r="L32" i="4"/>
  <c r="K32" i="4"/>
  <c r="O31" i="4"/>
  <c r="N31" i="4"/>
  <c r="M31" i="4"/>
  <c r="L31" i="4"/>
  <c r="K31" i="4"/>
  <c r="J31" i="4"/>
  <c r="O30" i="4"/>
  <c r="N30" i="4"/>
  <c r="M30" i="4"/>
  <c r="L30" i="4"/>
  <c r="K30" i="4"/>
  <c r="J30" i="4"/>
  <c r="O29" i="4"/>
  <c r="N29" i="4"/>
  <c r="M29" i="4"/>
  <c r="L29" i="4"/>
  <c r="K29" i="4"/>
  <c r="C29" i="4"/>
  <c r="J29" i="4" s="1"/>
  <c r="O28" i="4"/>
  <c r="N28" i="4"/>
  <c r="M28" i="4"/>
  <c r="L28" i="4"/>
  <c r="K28" i="4"/>
  <c r="J28" i="4"/>
  <c r="C28" i="4"/>
  <c r="O27" i="4"/>
  <c r="N27" i="4"/>
  <c r="M27" i="4"/>
  <c r="L27" i="4"/>
  <c r="K27" i="4"/>
  <c r="J27" i="4"/>
  <c r="O26" i="4"/>
  <c r="N26" i="4"/>
  <c r="M26" i="4"/>
  <c r="L26" i="4"/>
  <c r="K26" i="4"/>
  <c r="J26" i="4"/>
  <c r="G25" i="4"/>
  <c r="N25" i="4" s="1"/>
  <c r="F25" i="4"/>
  <c r="M25" i="4" s="1"/>
  <c r="D25" i="4"/>
  <c r="K25" i="4" s="1"/>
  <c r="C25" i="4"/>
  <c r="O25" i="4" s="1"/>
  <c r="G24" i="4"/>
  <c r="N24" i="4" s="1"/>
  <c r="F24" i="4"/>
  <c r="M24" i="4" s="1"/>
  <c r="E24" i="4"/>
  <c r="L24" i="4" s="1"/>
  <c r="D24" i="4"/>
  <c r="K24" i="4" s="1"/>
  <c r="C24" i="4"/>
  <c r="O24" i="4" s="1"/>
  <c r="O23" i="4"/>
  <c r="N23" i="4"/>
  <c r="M23" i="4"/>
  <c r="L23" i="4"/>
  <c r="K23" i="4"/>
  <c r="J23" i="4"/>
  <c r="O22" i="4"/>
  <c r="N22" i="4"/>
  <c r="M22" i="4"/>
  <c r="L22" i="4"/>
  <c r="K22" i="4"/>
  <c r="J22" i="4"/>
  <c r="O21" i="4"/>
  <c r="N21" i="4"/>
  <c r="M21" i="4"/>
  <c r="L21" i="4"/>
  <c r="K21" i="4"/>
  <c r="J21" i="4"/>
  <c r="N20" i="4"/>
  <c r="M20" i="4"/>
  <c r="L20" i="4"/>
  <c r="K20" i="4"/>
  <c r="C20" i="4"/>
  <c r="O20" i="4" s="1"/>
  <c r="N19" i="4"/>
  <c r="M19" i="4"/>
  <c r="L19" i="4"/>
  <c r="K19" i="4"/>
  <c r="C19" i="4"/>
  <c r="O19" i="4" s="1"/>
  <c r="O18" i="4"/>
  <c r="N18" i="4"/>
  <c r="M18" i="4"/>
  <c r="L18" i="4"/>
  <c r="K18" i="4"/>
  <c r="J18" i="4"/>
  <c r="O17" i="4"/>
  <c r="N17" i="4"/>
  <c r="M17" i="4"/>
  <c r="L17" i="4"/>
  <c r="K17" i="4"/>
  <c r="J17" i="4"/>
  <c r="O16" i="4"/>
  <c r="N16" i="4"/>
  <c r="M16" i="4"/>
  <c r="L16" i="4"/>
  <c r="K16" i="4"/>
  <c r="C16" i="4"/>
  <c r="J16" i="4" s="1"/>
  <c r="O15" i="4"/>
  <c r="N15" i="4"/>
  <c r="M15" i="4"/>
  <c r="L15" i="4"/>
  <c r="K15" i="4"/>
  <c r="J15" i="4"/>
  <c r="O14" i="4"/>
  <c r="N14" i="4"/>
  <c r="M14" i="4"/>
  <c r="L14" i="4"/>
  <c r="K14" i="4"/>
  <c r="J14" i="4"/>
  <c r="C14" i="4"/>
  <c r="O13" i="4"/>
  <c r="N13" i="4"/>
  <c r="M13" i="4"/>
  <c r="L13" i="4"/>
  <c r="K13" i="4"/>
  <c r="J13" i="4"/>
  <c r="O12" i="4"/>
  <c r="N12" i="4"/>
  <c r="M12" i="4"/>
  <c r="L12" i="4"/>
  <c r="K12" i="4"/>
  <c r="J12" i="4"/>
  <c r="N11" i="4"/>
  <c r="M11" i="4"/>
  <c r="L11" i="4"/>
  <c r="K11" i="4"/>
  <c r="C11" i="4"/>
  <c r="O11" i="4" s="1"/>
  <c r="O10" i="4"/>
  <c r="N10" i="4"/>
  <c r="M10" i="4"/>
  <c r="L10" i="4"/>
  <c r="K10" i="4"/>
  <c r="J10" i="4"/>
  <c r="N9" i="4"/>
  <c r="M9" i="4"/>
  <c r="L9" i="4"/>
  <c r="K9" i="4"/>
  <c r="C9" i="4"/>
  <c r="O9" i="4" s="1"/>
  <c r="O8" i="4"/>
  <c r="N8" i="4"/>
  <c r="M8" i="4"/>
  <c r="L8" i="4"/>
  <c r="K8" i="4"/>
  <c r="J8" i="4"/>
  <c r="O7" i="4"/>
  <c r="N7" i="4"/>
  <c r="M7" i="4"/>
  <c r="L7" i="4"/>
  <c r="K7" i="4"/>
  <c r="J7" i="4"/>
  <c r="O6" i="4"/>
  <c r="N6" i="4"/>
  <c r="M6" i="4"/>
  <c r="L6" i="4"/>
  <c r="K6" i="4"/>
  <c r="J6" i="4"/>
  <c r="O5" i="4"/>
  <c r="N5" i="4"/>
  <c r="M5" i="4"/>
  <c r="L5" i="4"/>
  <c r="K5" i="4"/>
  <c r="J5" i="4"/>
  <c r="O4" i="4"/>
  <c r="N4" i="4"/>
  <c r="M4" i="4"/>
  <c r="L4" i="4"/>
  <c r="K4" i="4"/>
  <c r="C4" i="4"/>
  <c r="J4" i="4" s="1"/>
  <c r="O3" i="4"/>
  <c r="N3" i="4"/>
  <c r="M3" i="4"/>
  <c r="L3" i="4"/>
  <c r="K3" i="4"/>
  <c r="J3" i="4"/>
  <c r="C3" i="4"/>
  <c r="C33" i="4" s="1"/>
  <c r="N65" i="3"/>
  <c r="M65" i="3"/>
  <c r="L65" i="3"/>
  <c r="K65" i="3"/>
  <c r="C67" i="3"/>
  <c r="J67" i="3" s="1"/>
  <c r="K66" i="3"/>
  <c r="L66" i="3"/>
  <c r="M66" i="3"/>
  <c r="N66" i="3"/>
  <c r="K67" i="3"/>
  <c r="L67" i="3"/>
  <c r="M67" i="3"/>
  <c r="N67" i="3"/>
  <c r="C63" i="3"/>
  <c r="J63" i="3" s="1"/>
  <c r="O64" i="3"/>
  <c r="N64" i="3"/>
  <c r="M64" i="3"/>
  <c r="L64" i="3"/>
  <c r="K64" i="3"/>
  <c r="J64" i="3"/>
  <c r="O63" i="3"/>
  <c r="L63" i="3"/>
  <c r="K63" i="3"/>
  <c r="O62" i="3"/>
  <c r="K62" i="3"/>
  <c r="J62" i="3"/>
  <c r="N62" i="3"/>
  <c r="M62" i="3"/>
  <c r="L62" i="3"/>
  <c r="O61" i="3"/>
  <c r="J61" i="3"/>
  <c r="N61" i="3"/>
  <c r="M61" i="3"/>
  <c r="L61" i="3"/>
  <c r="K61" i="3"/>
  <c r="E55" i="3"/>
  <c r="L55" i="3" s="1"/>
  <c r="F55" i="3"/>
  <c r="M55" i="3" s="1"/>
  <c r="G55" i="3"/>
  <c r="N55" i="3" s="1"/>
  <c r="E52" i="3"/>
  <c r="L52" i="3" s="1"/>
  <c r="F52" i="3"/>
  <c r="M52" i="3" s="1"/>
  <c r="G52" i="3"/>
  <c r="N52" i="3" s="1"/>
  <c r="D52" i="3"/>
  <c r="K52" i="3" s="1"/>
  <c r="G51" i="3"/>
  <c r="G54" i="3" s="1"/>
  <c r="N54" i="3" s="1"/>
  <c r="F51" i="3"/>
  <c r="F54" i="3" s="1"/>
  <c r="F56" i="3" s="1"/>
  <c r="M56" i="3" s="1"/>
  <c r="E51" i="3"/>
  <c r="L51" i="3" s="1"/>
  <c r="D51" i="3"/>
  <c r="D54" i="3" s="1"/>
  <c r="K54" i="3" s="1"/>
  <c r="E50" i="3"/>
  <c r="L50" i="3" s="1"/>
  <c r="F50" i="3"/>
  <c r="F53" i="3" s="1"/>
  <c r="M53" i="3" s="1"/>
  <c r="G50" i="3"/>
  <c r="N50" i="3" s="1"/>
  <c r="D50" i="3"/>
  <c r="K50" i="3" s="1"/>
  <c r="E49" i="3"/>
  <c r="L49" i="3" s="1"/>
  <c r="F49" i="3"/>
  <c r="M49" i="3" s="1"/>
  <c r="G49" i="3"/>
  <c r="N49" i="3" s="1"/>
  <c r="D49" i="3"/>
  <c r="K49" i="3" s="1"/>
  <c r="D55" i="3"/>
  <c r="K55" i="3" s="1"/>
  <c r="C51" i="3"/>
  <c r="C54" i="3" s="1"/>
  <c r="C56" i="3" s="1"/>
  <c r="J56" i="3" s="1"/>
  <c r="C55" i="3"/>
  <c r="O55" i="3" s="1"/>
  <c r="O50" i="3"/>
  <c r="J50" i="3"/>
  <c r="O52" i="3"/>
  <c r="J52" i="3"/>
  <c r="O49" i="3"/>
  <c r="J49" i="3"/>
  <c r="O23" i="3"/>
  <c r="N23" i="3"/>
  <c r="M23" i="3"/>
  <c r="L23" i="3"/>
  <c r="K23" i="3"/>
  <c r="J23" i="3"/>
  <c r="O22" i="3"/>
  <c r="N22" i="3"/>
  <c r="M22" i="3"/>
  <c r="L22" i="3"/>
  <c r="K22" i="3"/>
  <c r="J22" i="3"/>
  <c r="O31" i="3"/>
  <c r="N31" i="3"/>
  <c r="M31" i="3"/>
  <c r="L31" i="3"/>
  <c r="K31" i="3"/>
  <c r="J31" i="3"/>
  <c r="C28" i="2"/>
  <c r="C4" i="3"/>
  <c r="J4" i="3" s="1"/>
  <c r="C3" i="3"/>
  <c r="C24" i="3" s="1"/>
  <c r="J5" i="3"/>
  <c r="O3" i="3"/>
  <c r="N85" i="3"/>
  <c r="M85" i="3"/>
  <c r="L85" i="3"/>
  <c r="K85" i="3"/>
  <c r="N84" i="3"/>
  <c r="M84" i="3"/>
  <c r="L84" i="3"/>
  <c r="K84" i="3"/>
  <c r="N83" i="3"/>
  <c r="M83" i="3"/>
  <c r="L83" i="3"/>
  <c r="K83" i="3"/>
  <c r="N82" i="3"/>
  <c r="M82" i="3"/>
  <c r="L82" i="3"/>
  <c r="K82" i="3"/>
  <c r="N81" i="3"/>
  <c r="M81" i="3"/>
  <c r="L81" i="3"/>
  <c r="K81" i="3"/>
  <c r="N80" i="3"/>
  <c r="M80" i="3"/>
  <c r="L80" i="3"/>
  <c r="K80" i="3"/>
  <c r="N79" i="3"/>
  <c r="M79" i="3"/>
  <c r="L79" i="3"/>
  <c r="K79" i="3"/>
  <c r="N78" i="3"/>
  <c r="M78" i="3"/>
  <c r="L78" i="3"/>
  <c r="K78" i="3"/>
  <c r="N77" i="3"/>
  <c r="M77" i="3"/>
  <c r="L77" i="3"/>
  <c r="K77" i="3"/>
  <c r="N76" i="3"/>
  <c r="M76" i="3"/>
  <c r="L76" i="3"/>
  <c r="K76" i="3"/>
  <c r="N75" i="3"/>
  <c r="M75" i="3"/>
  <c r="L75" i="3"/>
  <c r="K75" i="3"/>
  <c r="N74" i="3"/>
  <c r="M74" i="3"/>
  <c r="L74" i="3"/>
  <c r="K74" i="3"/>
  <c r="N73" i="3"/>
  <c r="M73" i="3"/>
  <c r="L73" i="3"/>
  <c r="K73" i="3"/>
  <c r="N72" i="3"/>
  <c r="M72" i="3"/>
  <c r="L72" i="3"/>
  <c r="K72" i="3"/>
  <c r="N71" i="3"/>
  <c r="M71" i="3"/>
  <c r="L71" i="3"/>
  <c r="K71" i="3"/>
  <c r="N70" i="3"/>
  <c r="M70" i="3"/>
  <c r="L70" i="3"/>
  <c r="K70" i="3"/>
  <c r="N69" i="3"/>
  <c r="M69" i="3"/>
  <c r="L69" i="3"/>
  <c r="K69" i="3"/>
  <c r="N68" i="3"/>
  <c r="M68" i="3"/>
  <c r="L68" i="3"/>
  <c r="K68" i="3"/>
  <c r="N60" i="3"/>
  <c r="M60" i="3"/>
  <c r="L60" i="3"/>
  <c r="K60" i="3"/>
  <c r="N59" i="3"/>
  <c r="M59" i="3"/>
  <c r="L59" i="3"/>
  <c r="K59" i="3"/>
  <c r="N58" i="3"/>
  <c r="M58" i="3"/>
  <c r="L58" i="3"/>
  <c r="K58" i="3"/>
  <c r="N57" i="3"/>
  <c r="M57" i="3"/>
  <c r="L57" i="3"/>
  <c r="K57" i="3"/>
  <c r="N48" i="3"/>
  <c r="M48" i="3"/>
  <c r="L48" i="3"/>
  <c r="K48" i="3"/>
  <c r="N47" i="3"/>
  <c r="M47" i="3"/>
  <c r="L47" i="3"/>
  <c r="K47" i="3"/>
  <c r="N46" i="3"/>
  <c r="M46" i="3"/>
  <c r="L46" i="3"/>
  <c r="K46" i="3"/>
  <c r="N45" i="3"/>
  <c r="M45" i="3"/>
  <c r="L45" i="3"/>
  <c r="K45" i="3"/>
  <c r="N44" i="3"/>
  <c r="M44" i="3"/>
  <c r="L44" i="3"/>
  <c r="K44" i="3"/>
  <c r="N43" i="3"/>
  <c r="M43" i="3"/>
  <c r="L43" i="3"/>
  <c r="K43" i="3"/>
  <c r="N42" i="3"/>
  <c r="M42" i="3"/>
  <c r="L42" i="3"/>
  <c r="K42" i="3"/>
  <c r="N41" i="3"/>
  <c r="M41" i="3"/>
  <c r="L41" i="3"/>
  <c r="K41" i="3"/>
  <c r="N40" i="3"/>
  <c r="M40" i="3"/>
  <c r="L40" i="3"/>
  <c r="K40" i="3"/>
  <c r="N39" i="3"/>
  <c r="M39" i="3"/>
  <c r="L39" i="3"/>
  <c r="K39" i="3"/>
  <c r="N38" i="3"/>
  <c r="M38" i="3"/>
  <c r="L38" i="3"/>
  <c r="K38" i="3"/>
  <c r="N37" i="3"/>
  <c r="M37" i="3"/>
  <c r="L37" i="3"/>
  <c r="K37" i="3"/>
  <c r="N36" i="3"/>
  <c r="M36" i="3"/>
  <c r="L36" i="3"/>
  <c r="K36" i="3"/>
  <c r="N35" i="3"/>
  <c r="M35" i="3"/>
  <c r="L35" i="3"/>
  <c r="K35" i="3"/>
  <c r="N34" i="3"/>
  <c r="M34" i="3"/>
  <c r="L34" i="3"/>
  <c r="K34" i="3"/>
  <c r="N33" i="3"/>
  <c r="M33" i="3"/>
  <c r="L33" i="3"/>
  <c r="K33" i="3"/>
  <c r="N32" i="3"/>
  <c r="M32" i="3"/>
  <c r="L32" i="3"/>
  <c r="K32" i="3"/>
  <c r="N30" i="3"/>
  <c r="M30" i="3"/>
  <c r="L30" i="3"/>
  <c r="K30" i="3"/>
  <c r="N29" i="3"/>
  <c r="M29" i="3"/>
  <c r="L29" i="3"/>
  <c r="K29" i="3"/>
  <c r="N28" i="3"/>
  <c r="M28" i="3"/>
  <c r="L28" i="3"/>
  <c r="K28" i="3"/>
  <c r="N27" i="3"/>
  <c r="M27" i="3"/>
  <c r="L27" i="3"/>
  <c r="K27" i="3"/>
  <c r="N26" i="3"/>
  <c r="M26" i="3"/>
  <c r="L26" i="3"/>
  <c r="K26" i="3"/>
  <c r="N21" i="3"/>
  <c r="M21" i="3"/>
  <c r="L21" i="3"/>
  <c r="K21" i="3"/>
  <c r="N20" i="3"/>
  <c r="M20" i="3"/>
  <c r="L20" i="3"/>
  <c r="K20" i="3"/>
  <c r="N19" i="3"/>
  <c r="M19" i="3"/>
  <c r="L19" i="3"/>
  <c r="K19" i="3"/>
  <c r="N18" i="3"/>
  <c r="M18" i="3"/>
  <c r="L18" i="3"/>
  <c r="K18" i="3"/>
  <c r="N17" i="3"/>
  <c r="M17" i="3"/>
  <c r="L17" i="3"/>
  <c r="K17" i="3"/>
  <c r="N16" i="3"/>
  <c r="M16" i="3"/>
  <c r="L16" i="3"/>
  <c r="K16" i="3"/>
  <c r="N15" i="3"/>
  <c r="M15" i="3"/>
  <c r="L15" i="3"/>
  <c r="K15" i="3"/>
  <c r="N14" i="3"/>
  <c r="M14" i="3"/>
  <c r="L14" i="3"/>
  <c r="K14" i="3"/>
  <c r="N13" i="3"/>
  <c r="M13" i="3"/>
  <c r="L13" i="3"/>
  <c r="K13" i="3"/>
  <c r="N12" i="3"/>
  <c r="M12" i="3"/>
  <c r="L12" i="3"/>
  <c r="K12" i="3"/>
  <c r="N11" i="3"/>
  <c r="M11" i="3"/>
  <c r="L11" i="3"/>
  <c r="K11" i="3"/>
  <c r="N10" i="3"/>
  <c r="M10" i="3"/>
  <c r="L10" i="3"/>
  <c r="K10" i="3"/>
  <c r="N9" i="3"/>
  <c r="M9" i="3"/>
  <c r="L9" i="3"/>
  <c r="K9" i="3"/>
  <c r="N8" i="3"/>
  <c r="M8" i="3"/>
  <c r="L8" i="3"/>
  <c r="K8" i="3"/>
  <c r="N7" i="3"/>
  <c r="M7" i="3"/>
  <c r="L7" i="3"/>
  <c r="K7" i="3"/>
  <c r="N6" i="3"/>
  <c r="M6" i="3"/>
  <c r="L6" i="3"/>
  <c r="K6" i="3"/>
  <c r="N5" i="3"/>
  <c r="M5" i="3"/>
  <c r="L5" i="3"/>
  <c r="K5" i="3"/>
  <c r="N3" i="3"/>
  <c r="M3" i="3"/>
  <c r="L3" i="3"/>
  <c r="K3" i="3"/>
  <c r="N4" i="3"/>
  <c r="M4" i="3"/>
  <c r="L4" i="3"/>
  <c r="K4" i="3"/>
  <c r="I71" i="2"/>
  <c r="H71" i="2"/>
  <c r="I70" i="2"/>
  <c r="H70" i="2"/>
  <c r="I69" i="2"/>
  <c r="H69" i="2"/>
  <c r="I68" i="2"/>
  <c r="H68" i="2"/>
  <c r="I67" i="2"/>
  <c r="H67" i="2"/>
  <c r="I66" i="2"/>
  <c r="H66" i="2"/>
  <c r="I65" i="2"/>
  <c r="H65" i="2"/>
  <c r="I64" i="2"/>
  <c r="H64" i="2"/>
  <c r="I63" i="2"/>
  <c r="H63" i="2"/>
  <c r="I62" i="2"/>
  <c r="H62" i="2"/>
  <c r="I61" i="2"/>
  <c r="H61" i="2"/>
  <c r="I59" i="2"/>
  <c r="H59" i="2"/>
  <c r="I57" i="2"/>
  <c r="H57" i="2"/>
  <c r="I56" i="2"/>
  <c r="H56" i="2"/>
  <c r="I55" i="2"/>
  <c r="H55" i="2"/>
  <c r="I54" i="2"/>
  <c r="H54" i="2"/>
  <c r="I53" i="2"/>
  <c r="H53" i="2"/>
  <c r="I52" i="2"/>
  <c r="H52" i="2"/>
  <c r="I51" i="2"/>
  <c r="H51" i="2"/>
  <c r="I50" i="2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2" i="2"/>
  <c r="H32" i="2"/>
  <c r="I31" i="2"/>
  <c r="H31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I6" i="2"/>
  <c r="H6" i="2"/>
  <c r="I5" i="2"/>
  <c r="H5" i="2"/>
  <c r="I4" i="2"/>
  <c r="H4" i="2"/>
  <c r="I3" i="2"/>
  <c r="H3" i="2"/>
  <c r="O81" i="3"/>
  <c r="J81" i="3"/>
  <c r="O80" i="3"/>
  <c r="J80" i="3"/>
  <c r="O78" i="3"/>
  <c r="J78" i="3"/>
  <c r="O77" i="3"/>
  <c r="J77" i="3"/>
  <c r="O75" i="3"/>
  <c r="J75" i="3"/>
  <c r="O73" i="3"/>
  <c r="J73" i="3"/>
  <c r="O70" i="3"/>
  <c r="J70" i="3"/>
  <c r="O69" i="3"/>
  <c r="J69" i="3"/>
  <c r="O59" i="3"/>
  <c r="J59" i="3"/>
  <c r="O58" i="3"/>
  <c r="J58" i="3"/>
  <c r="O57" i="3"/>
  <c r="J57" i="3"/>
  <c r="O47" i="3"/>
  <c r="J47" i="3"/>
  <c r="O46" i="3"/>
  <c r="J46" i="3"/>
  <c r="O44" i="3"/>
  <c r="J44" i="3"/>
  <c r="O42" i="3"/>
  <c r="J42" i="3"/>
  <c r="O40" i="3"/>
  <c r="J40" i="3"/>
  <c r="O39" i="3"/>
  <c r="J39" i="3"/>
  <c r="O38" i="3"/>
  <c r="J38" i="3"/>
  <c r="O37" i="3"/>
  <c r="J37" i="3"/>
  <c r="O35" i="3"/>
  <c r="J35" i="3"/>
  <c r="O34" i="3"/>
  <c r="J34" i="3"/>
  <c r="O27" i="3"/>
  <c r="J27" i="3"/>
  <c r="O26" i="3"/>
  <c r="J26" i="3"/>
  <c r="O21" i="3"/>
  <c r="J21" i="3"/>
  <c r="O18" i="3"/>
  <c r="J18" i="3"/>
  <c r="O17" i="3"/>
  <c r="J17" i="3"/>
  <c r="O15" i="3"/>
  <c r="J15" i="3"/>
  <c r="O13" i="3"/>
  <c r="J13" i="3"/>
  <c r="O12" i="3"/>
  <c r="J12" i="3"/>
  <c r="O10" i="3"/>
  <c r="J10" i="3"/>
  <c r="O8" i="3"/>
  <c r="J8" i="3"/>
  <c r="O7" i="3"/>
  <c r="J7" i="3"/>
  <c r="O6" i="3"/>
  <c r="J6" i="3"/>
  <c r="O5" i="3"/>
  <c r="F24" i="3"/>
  <c r="M24" i="3" s="1"/>
  <c r="E24" i="3"/>
  <c r="L24" i="3" s="1"/>
  <c r="C84" i="3"/>
  <c r="O84" i="3" s="1"/>
  <c r="C83" i="3"/>
  <c r="J83" i="3" s="1"/>
  <c r="C71" i="3"/>
  <c r="O71" i="3" s="1"/>
  <c r="C48" i="3"/>
  <c r="J48" i="3" s="1"/>
  <c r="C45" i="3"/>
  <c r="O45" i="3" s="1"/>
  <c r="C43" i="3"/>
  <c r="O43" i="3" s="1"/>
  <c r="C41" i="3"/>
  <c r="J41" i="3" s="1"/>
  <c r="C28" i="3"/>
  <c r="O28" i="3" s="1"/>
  <c r="G24" i="3"/>
  <c r="N24" i="3" s="1"/>
  <c r="D24" i="3"/>
  <c r="C29" i="3" s="1"/>
  <c r="J29" i="3" s="1"/>
  <c r="C19" i="3"/>
  <c r="O19" i="3" s="1"/>
  <c r="C16" i="3"/>
  <c r="O16" i="3" s="1"/>
  <c r="C14" i="3"/>
  <c r="O14" i="3" s="1"/>
  <c r="C11" i="3"/>
  <c r="O11" i="3" s="1"/>
  <c r="C9" i="3"/>
  <c r="J9" i="3" s="1"/>
  <c r="C71" i="2"/>
  <c r="C70" i="2"/>
  <c r="C69" i="2"/>
  <c r="C68" i="2"/>
  <c r="C65" i="2"/>
  <c r="C62" i="2"/>
  <c r="C60" i="2"/>
  <c r="I60" i="2" s="1"/>
  <c r="C57" i="2"/>
  <c r="C12" i="2"/>
  <c r="C10" i="2"/>
  <c r="C46" i="2"/>
  <c r="C47" i="2" s="1"/>
  <c r="C45" i="2"/>
  <c r="C42" i="2"/>
  <c r="C40" i="2"/>
  <c r="C38" i="2"/>
  <c r="C26" i="2"/>
  <c r="E23" i="2"/>
  <c r="D23" i="2"/>
  <c r="C27" i="2" s="1"/>
  <c r="C23" i="2"/>
  <c r="C54" i="2" s="1"/>
  <c r="C20" i="2"/>
  <c r="C17" i="2"/>
  <c r="C21" i="2" s="1"/>
  <c r="C15" i="2"/>
  <c r="O84" i="6" l="1"/>
  <c r="J36" i="6"/>
  <c r="E25" i="6"/>
  <c r="L25" i="6" s="1"/>
  <c r="N24" i="6"/>
  <c r="O19" i="6"/>
  <c r="J55" i="6"/>
  <c r="M54" i="6"/>
  <c r="J32" i="6"/>
  <c r="O32" i="6"/>
  <c r="O85" i="6"/>
  <c r="J85" i="6"/>
  <c r="J66" i="6"/>
  <c r="C74" i="6"/>
  <c r="C72" i="6"/>
  <c r="C82" i="6"/>
  <c r="C76" i="6"/>
  <c r="O66" i="6"/>
  <c r="J20" i="6"/>
  <c r="O20" i="6"/>
  <c r="K54" i="6"/>
  <c r="D56" i="6"/>
  <c r="K56" i="6" s="1"/>
  <c r="L54" i="6"/>
  <c r="E56" i="6"/>
  <c r="L56" i="6" s="1"/>
  <c r="J63" i="6"/>
  <c r="C65" i="6"/>
  <c r="C54" i="6"/>
  <c r="O45" i="6"/>
  <c r="K24" i="6"/>
  <c r="C53" i="6"/>
  <c r="O16" i="6"/>
  <c r="O41" i="6"/>
  <c r="O28" i="6"/>
  <c r="C29" i="6"/>
  <c r="O11" i="6"/>
  <c r="C33" i="6"/>
  <c r="J48" i="6"/>
  <c r="G56" i="6"/>
  <c r="N56" i="6" s="1"/>
  <c r="J67" i="6"/>
  <c r="O43" i="6"/>
  <c r="M24" i="6"/>
  <c r="J16" i="6"/>
  <c r="J3" i="6"/>
  <c r="C24" i="6"/>
  <c r="O67" i="6"/>
  <c r="C79" i="6"/>
  <c r="E25" i="5"/>
  <c r="L25" i="5" s="1"/>
  <c r="O9" i="5"/>
  <c r="M24" i="5"/>
  <c r="C29" i="5"/>
  <c r="O29" i="5" s="1"/>
  <c r="G25" i="5"/>
  <c r="N25" i="5" s="1"/>
  <c r="J32" i="5"/>
  <c r="O32" i="5"/>
  <c r="O65" i="5"/>
  <c r="J65" i="5"/>
  <c r="J11" i="5"/>
  <c r="O11" i="5"/>
  <c r="N54" i="5"/>
  <c r="G56" i="5"/>
  <c r="N56" i="5" s="1"/>
  <c r="K24" i="5"/>
  <c r="M50" i="5"/>
  <c r="N51" i="5"/>
  <c r="C53" i="5"/>
  <c r="D54" i="5"/>
  <c r="F56" i="5"/>
  <c r="M56" i="5" s="1"/>
  <c r="J4" i="5"/>
  <c r="J10" i="5"/>
  <c r="C33" i="5"/>
  <c r="D53" i="5"/>
  <c r="K53" i="5" s="1"/>
  <c r="E54" i="5"/>
  <c r="J14" i="5"/>
  <c r="J55" i="5"/>
  <c r="J71" i="5"/>
  <c r="C20" i="5"/>
  <c r="J28" i="5"/>
  <c r="J43" i="5"/>
  <c r="C66" i="5"/>
  <c r="C85" i="5" s="1"/>
  <c r="O10" i="5"/>
  <c r="C24" i="5"/>
  <c r="O67" i="5"/>
  <c r="J63" i="5"/>
  <c r="K51" i="3"/>
  <c r="M50" i="3"/>
  <c r="C65" i="3"/>
  <c r="O4" i="3"/>
  <c r="C53" i="3"/>
  <c r="O53" i="3" s="1"/>
  <c r="D53" i="3"/>
  <c r="K53" i="3" s="1"/>
  <c r="G53" i="3"/>
  <c r="N53" i="3" s="1"/>
  <c r="E53" i="3"/>
  <c r="L53" i="3" s="1"/>
  <c r="J82" i="4"/>
  <c r="O82" i="4"/>
  <c r="J53" i="4"/>
  <c r="O53" i="4"/>
  <c r="K54" i="4"/>
  <c r="D56" i="4"/>
  <c r="K56" i="4" s="1"/>
  <c r="E56" i="4"/>
  <c r="L56" i="4" s="1"/>
  <c r="L54" i="4"/>
  <c r="O85" i="4"/>
  <c r="J85" i="4"/>
  <c r="F56" i="4"/>
  <c r="M56" i="4" s="1"/>
  <c r="M54" i="4"/>
  <c r="O65" i="4"/>
  <c r="J65" i="4"/>
  <c r="J33" i="4"/>
  <c r="O33" i="4"/>
  <c r="J20" i="4"/>
  <c r="C32" i="4"/>
  <c r="J45" i="4"/>
  <c r="J66" i="4"/>
  <c r="C79" i="4"/>
  <c r="J9" i="4"/>
  <c r="E25" i="4"/>
  <c r="L25" i="4" s="1"/>
  <c r="C68" i="4"/>
  <c r="J11" i="4"/>
  <c r="C72" i="4"/>
  <c r="J25" i="4"/>
  <c r="K50" i="4"/>
  <c r="L51" i="4"/>
  <c r="J63" i="4"/>
  <c r="C74" i="4"/>
  <c r="J19" i="4"/>
  <c r="J24" i="4"/>
  <c r="L50" i="4"/>
  <c r="M51" i="4"/>
  <c r="C54" i="4"/>
  <c r="O66" i="4"/>
  <c r="C76" i="4"/>
  <c r="N50" i="4"/>
  <c r="C60" i="4"/>
  <c r="O67" i="3"/>
  <c r="N51" i="3"/>
  <c r="E54" i="3"/>
  <c r="L54" i="3" s="1"/>
  <c r="C66" i="3"/>
  <c r="C72" i="3" s="1"/>
  <c r="J51" i="3"/>
  <c r="M51" i="3"/>
  <c r="M63" i="3"/>
  <c r="N63" i="3"/>
  <c r="M54" i="3"/>
  <c r="D56" i="3"/>
  <c r="K56" i="3" s="1"/>
  <c r="G56" i="3"/>
  <c r="N56" i="3" s="1"/>
  <c r="J55" i="3"/>
  <c r="O51" i="3"/>
  <c r="C25" i="3"/>
  <c r="O25" i="3" s="1"/>
  <c r="G25" i="3"/>
  <c r="N25" i="3" s="1"/>
  <c r="F25" i="3"/>
  <c r="M25" i="3" s="1"/>
  <c r="E25" i="3"/>
  <c r="L25" i="3" s="1"/>
  <c r="D25" i="3"/>
  <c r="K25" i="3" s="1"/>
  <c r="H60" i="2"/>
  <c r="J3" i="3"/>
  <c r="J11" i="3"/>
  <c r="O54" i="3"/>
  <c r="O48" i="3"/>
  <c r="O41" i="3"/>
  <c r="J43" i="3"/>
  <c r="O83" i="3"/>
  <c r="O9" i="3"/>
  <c r="O29" i="3"/>
  <c r="J84" i="3"/>
  <c r="J30" i="3"/>
  <c r="J71" i="3"/>
  <c r="O30" i="3"/>
  <c r="J19" i="3"/>
  <c r="J45" i="3"/>
  <c r="J14" i="3"/>
  <c r="K24" i="3"/>
  <c r="J16" i="3"/>
  <c r="J54" i="3"/>
  <c r="J28" i="3"/>
  <c r="O56" i="3"/>
  <c r="J24" i="3"/>
  <c r="O24" i="3"/>
  <c r="C20" i="3"/>
  <c r="C33" i="3"/>
  <c r="C60" i="3"/>
  <c r="C36" i="3"/>
  <c r="C32" i="3"/>
  <c r="C58" i="2"/>
  <c r="C51" i="2"/>
  <c r="C29" i="2"/>
  <c r="C30" i="2"/>
  <c r="C33" i="2"/>
  <c r="O74" i="6" l="1"/>
  <c r="J74" i="6"/>
  <c r="J79" i="6"/>
  <c r="O79" i="6"/>
  <c r="O29" i="6"/>
  <c r="J29" i="6"/>
  <c r="C68" i="6"/>
  <c r="C25" i="6"/>
  <c r="O24" i="6"/>
  <c r="C60" i="6"/>
  <c r="J24" i="6"/>
  <c r="J53" i="6"/>
  <c r="O53" i="6"/>
  <c r="O76" i="6"/>
  <c r="J76" i="6"/>
  <c r="O65" i="6"/>
  <c r="J65" i="6"/>
  <c r="O82" i="6"/>
  <c r="J82" i="6"/>
  <c r="J54" i="6"/>
  <c r="C56" i="6"/>
  <c r="O54" i="6"/>
  <c r="O72" i="6"/>
  <c r="J72" i="6"/>
  <c r="O33" i="6"/>
  <c r="J33" i="6"/>
  <c r="J29" i="5"/>
  <c r="O85" i="5"/>
  <c r="J85" i="5"/>
  <c r="O24" i="5"/>
  <c r="C68" i="5"/>
  <c r="C25" i="5"/>
  <c r="C60" i="5"/>
  <c r="J24" i="5"/>
  <c r="L54" i="5"/>
  <c r="E56" i="5"/>
  <c r="L56" i="5" s="1"/>
  <c r="C79" i="5"/>
  <c r="O33" i="5"/>
  <c r="J33" i="5"/>
  <c r="D56" i="5"/>
  <c r="K56" i="5" s="1"/>
  <c r="K54" i="5"/>
  <c r="C74" i="5"/>
  <c r="C72" i="5"/>
  <c r="J66" i="5"/>
  <c r="C82" i="5"/>
  <c r="C76" i="5"/>
  <c r="O66" i="5"/>
  <c r="O53" i="5"/>
  <c r="J53" i="5"/>
  <c r="J20" i="5"/>
  <c r="O20" i="5"/>
  <c r="J53" i="3"/>
  <c r="E56" i="3"/>
  <c r="L56" i="3" s="1"/>
  <c r="J65" i="3"/>
  <c r="O65" i="3"/>
  <c r="O32" i="4"/>
  <c r="J32" i="4"/>
  <c r="O68" i="4"/>
  <c r="J68" i="4"/>
  <c r="J76" i="4"/>
  <c r="O76" i="4"/>
  <c r="J54" i="4"/>
  <c r="C56" i="4"/>
  <c r="O54" i="4"/>
  <c r="O79" i="4"/>
  <c r="J79" i="4"/>
  <c r="O74" i="4"/>
  <c r="J74" i="4"/>
  <c r="J60" i="4"/>
  <c r="O60" i="4"/>
  <c r="O72" i="4"/>
  <c r="J72" i="4"/>
  <c r="C74" i="3"/>
  <c r="J66" i="3"/>
  <c r="C85" i="3"/>
  <c r="C82" i="3"/>
  <c r="C79" i="3"/>
  <c r="O66" i="3"/>
  <c r="C76" i="3"/>
  <c r="C68" i="3"/>
  <c r="J25" i="3"/>
  <c r="I33" i="2"/>
  <c r="H33" i="2"/>
  <c r="I30" i="2"/>
  <c r="H30" i="2"/>
  <c r="I58" i="2"/>
  <c r="H58" i="2"/>
  <c r="I29" i="2"/>
  <c r="H29" i="2"/>
  <c r="O32" i="3"/>
  <c r="J32" i="3"/>
  <c r="O36" i="3"/>
  <c r="J36" i="3"/>
  <c r="O72" i="3"/>
  <c r="J72" i="3"/>
  <c r="O33" i="3"/>
  <c r="J33" i="3"/>
  <c r="O20" i="3"/>
  <c r="J20" i="3"/>
  <c r="J60" i="3"/>
  <c r="O60" i="3"/>
  <c r="O60" i="6" l="1"/>
  <c r="J60" i="6"/>
  <c r="O56" i="6"/>
  <c r="J56" i="6"/>
  <c r="O25" i="6"/>
  <c r="J25" i="6"/>
  <c r="J68" i="6"/>
  <c r="O68" i="6"/>
  <c r="J68" i="5"/>
  <c r="O68" i="5"/>
  <c r="J72" i="5"/>
  <c r="O72" i="5"/>
  <c r="O76" i="5"/>
  <c r="J76" i="5"/>
  <c r="O82" i="5"/>
  <c r="J82" i="5"/>
  <c r="O60" i="5"/>
  <c r="J60" i="5"/>
  <c r="O74" i="5"/>
  <c r="J74" i="5"/>
  <c r="J79" i="5"/>
  <c r="O79" i="5"/>
  <c r="J25" i="5"/>
  <c r="O25" i="5"/>
  <c r="J56" i="4"/>
  <c r="O56" i="4"/>
  <c r="O76" i="3"/>
  <c r="J76" i="3"/>
  <c r="O79" i="3"/>
  <c r="J79" i="3"/>
  <c r="O82" i="3"/>
  <c r="J82" i="3"/>
  <c r="O85" i="3"/>
  <c r="J85" i="3"/>
  <c r="O74" i="3"/>
  <c r="J74" i="3"/>
  <c r="J68" i="3"/>
  <c r="O68" i="3"/>
</calcChain>
</file>

<file path=xl/sharedStrings.xml><?xml version="1.0" encoding="utf-8"?>
<sst xmlns="http://schemas.openxmlformats.org/spreadsheetml/2006/main" count="1270" uniqueCount="157">
  <si>
    <t>V</t>
  </si>
  <si>
    <t>A</t>
  </si>
  <si>
    <t xml:space="preserve">Target f_sw : </t>
  </si>
  <si>
    <t>Hz</t>
  </si>
  <si>
    <t xml:space="preserve">Ideal R_sw : </t>
  </si>
  <si>
    <t>Ohm</t>
  </si>
  <si>
    <t xml:space="preserve">Pick R_sw : </t>
  </si>
  <si>
    <t xml:space="preserve">Actual f_sw : </t>
  </si>
  <si>
    <t>Value</t>
  </si>
  <si>
    <t>Unit</t>
  </si>
  <si>
    <t xml:space="preserve">I_out : </t>
  </si>
  <si>
    <t>Ohms</t>
  </si>
  <si>
    <t xml:space="preserve">Target I_rip : </t>
  </si>
  <si>
    <t xml:space="preserve">Ideal L_out : </t>
  </si>
  <si>
    <t>H</t>
  </si>
  <si>
    <t>Notes</t>
  </si>
  <si>
    <t>Datasheet uses 230kHz instead of actual value</t>
  </si>
  <si>
    <t xml:space="preserve">Pick L_out : </t>
  </si>
  <si>
    <t xml:space="preserve">Actual I_rip : </t>
  </si>
  <si>
    <t xml:space="preserve">Target I_rip_% : </t>
  </si>
  <si>
    <t xml:space="preserve">V_in_min : </t>
  </si>
  <si>
    <t xml:space="preserve">V_in_max : </t>
  </si>
  <si>
    <t>Design</t>
  </si>
  <si>
    <t>V_in_min</t>
  </si>
  <si>
    <t>V_in_max</t>
  </si>
  <si>
    <t xml:space="preserve">V_in_nom : </t>
  </si>
  <si>
    <t xml:space="preserve">Target I_sense_factor : </t>
  </si>
  <si>
    <t xml:space="preserve">Target R_sense : </t>
  </si>
  <si>
    <t>V_CS(TH) = 0.12V; K = 1</t>
  </si>
  <si>
    <t xml:space="preserve">Target I_sense_pk : </t>
  </si>
  <si>
    <t xml:space="preserve">Pick R_sense : </t>
  </si>
  <si>
    <t xml:space="preserve">Actual I_sense_pk : </t>
  </si>
  <si>
    <t>V_CS(TH) = 0.12V; t_ON(MIN)</t>
  </si>
  <si>
    <t>0.1 Ohm || 8 mOhm</t>
  </si>
  <si>
    <t xml:space="preserve">Actual R_sense_pwr : </t>
  </si>
  <si>
    <t>W</t>
  </si>
  <si>
    <t xml:space="preserve">Pick C_ramp : </t>
  </si>
  <si>
    <t>F</t>
  </si>
  <si>
    <t xml:space="preserve">Target R_ramp : </t>
  </si>
  <si>
    <t>Standard value from Datasheet</t>
  </si>
  <si>
    <t>K = 1; A_s = 10</t>
  </si>
  <si>
    <t xml:space="preserve">Actual R_ramp : </t>
  </si>
  <si>
    <t xml:space="preserve">V_hys : </t>
  </si>
  <si>
    <t xml:space="preserve">Target R_uv2 : </t>
  </si>
  <si>
    <t>Target Current is 20uA</t>
  </si>
  <si>
    <t xml:space="preserve">Pick R_uv2 : </t>
  </si>
  <si>
    <t xml:space="preserve">Target R_uv1 : </t>
  </si>
  <si>
    <t>Assume 1.25 is V theshold for uv?</t>
  </si>
  <si>
    <t xml:space="preserve">Pick R_uv1 : </t>
  </si>
  <si>
    <t xml:space="preserve">Target V_startup : </t>
  </si>
  <si>
    <t xml:space="preserve">Actual V_startup : </t>
  </si>
  <si>
    <t xml:space="preserve">Target V_out_rip : </t>
  </si>
  <si>
    <t xml:space="preserve">Target C_out : </t>
  </si>
  <si>
    <t xml:space="preserve">Pick C_out : </t>
  </si>
  <si>
    <t xml:space="preserve">Actual V_out_rip : </t>
  </si>
  <si>
    <t>Use Datasheet value to prove eq's</t>
  </si>
  <si>
    <t xml:space="preserve">Target V_in_rip : </t>
  </si>
  <si>
    <t xml:space="preserve">Target C_in : </t>
  </si>
  <si>
    <t xml:space="preserve">Pick C_in : </t>
  </si>
  <si>
    <t xml:space="preserve">Actual V_in_rip : </t>
  </si>
  <si>
    <t xml:space="preserve"> Target V_out : </t>
  </si>
  <si>
    <t xml:space="preserve">Pick R_fb2 : </t>
  </si>
  <si>
    <t xml:space="preserve">Target R_fb1 : </t>
  </si>
  <si>
    <t xml:space="preserve">Pick R_fb1 : </t>
  </si>
  <si>
    <t xml:space="preserve">Actual V_out : </t>
  </si>
  <si>
    <t xml:space="preserve">Target f_cross_factor : </t>
  </si>
  <si>
    <t xml:space="preserve">Target f_cross : </t>
  </si>
  <si>
    <t xml:space="preserve">Target R_comp : </t>
  </si>
  <si>
    <t>Datasheet uses C_out = 514uF</t>
  </si>
  <si>
    <t xml:space="preserve">Pick R_comp : </t>
  </si>
  <si>
    <t xml:space="preserve">Actual f_cross : </t>
  </si>
  <si>
    <t xml:space="preserve">Target C_comp : </t>
  </si>
  <si>
    <t xml:space="preserve">Pick C_comp : </t>
  </si>
  <si>
    <t xml:space="preserve">Target C_hf : </t>
  </si>
  <si>
    <t xml:space="preserve">Pick C_hf : </t>
  </si>
  <si>
    <t>Datasheet uses C_out = 514uF; C_out_esr = 10mOhm, but notes assume ESR/2 is "typical"</t>
  </si>
  <si>
    <t xml:space="preserve">Pick C_out_esr : </t>
  </si>
  <si>
    <t xml:space="preserve">Target C_out_esr : </t>
  </si>
  <si>
    <t xml:space="preserve">Actual W_p_lf : </t>
  </si>
  <si>
    <t xml:space="preserve">Actual W_z_ea : </t>
  </si>
  <si>
    <t xml:space="preserve">Actual W_p_ea : </t>
  </si>
  <si>
    <t xml:space="preserve">Actual W_z_esr : </t>
  </si>
  <si>
    <t>V_in_24V</t>
  </si>
  <si>
    <t>V_in_36V</t>
  </si>
  <si>
    <t>-</t>
  </si>
  <si>
    <t>Midrange value</t>
  </si>
  <si>
    <t xml:space="preserve">Actual I_max : </t>
  </si>
  <si>
    <t>Mfg</t>
  </si>
  <si>
    <t>PN</t>
  </si>
  <si>
    <t>Vishay Dale</t>
  </si>
  <si>
    <t>WSLP1206R0140FEA</t>
  </si>
  <si>
    <t xml:space="preserve">Pick R_sense_pwr : </t>
  </si>
  <si>
    <t xml:space="preserve">Actual I_sense_shrt_crt : </t>
  </si>
  <si>
    <t xml:space="preserve">Pick L_out_i_sat : </t>
  </si>
  <si>
    <t xml:space="preserve">Pick L_out_esr : </t>
  </si>
  <si>
    <t>EPCOS - TDK Electronics</t>
  </si>
  <si>
    <t>B82559B7103A016</t>
  </si>
  <si>
    <t>KEMET</t>
  </si>
  <si>
    <t>C0603C821J5GACTU</t>
  </si>
  <si>
    <t>Panasonic</t>
  </si>
  <si>
    <t>ERJ-3EKF8872V</t>
  </si>
  <si>
    <t>ERJ-3EKF1003V</t>
  </si>
  <si>
    <t>ERJ-3EKF7501V</t>
  </si>
  <si>
    <t xml:space="preserve">Pick C_in_nom : </t>
  </si>
  <si>
    <t xml:space="preserve">Pick C_in_derate : </t>
  </si>
  <si>
    <t xml:space="preserve">Pick C_in_num : </t>
  </si>
  <si>
    <t xml:space="preserve">Pick C_in_esr : </t>
  </si>
  <si>
    <t>Murata Electronics</t>
  </si>
  <si>
    <t>KRM55WR72A156MH01K</t>
  </si>
  <si>
    <t xml:space="preserve">Pick C_out_nom : </t>
  </si>
  <si>
    <t xml:space="preserve">Pick C_out_derate : </t>
  </si>
  <si>
    <t xml:space="preserve">Pick C_out_num : </t>
  </si>
  <si>
    <t>Operating Values from website:  https://www.murata.com/en-us/products/productdetail?partno=KRM55WR72A156MH01%23</t>
  </si>
  <si>
    <t>ERJ-3EKF8661V</t>
  </si>
  <si>
    <t>C0603C399C5GACTU</t>
  </si>
  <si>
    <t>C0805C123J5GACAUTO</t>
  </si>
  <si>
    <t xml:space="preserve">Pick C_out_total : </t>
  </si>
  <si>
    <t xml:space="preserve">Pick C_in_total : </t>
  </si>
  <si>
    <t>B82559B0153A016</t>
  </si>
  <si>
    <t>WSLP1206R0150FEA</t>
  </si>
  <si>
    <t>ERJ-3EKF1213V</t>
  </si>
  <si>
    <t>ERJ-3EKF1242V</t>
  </si>
  <si>
    <t>C0603C279C5GACTU</t>
  </si>
  <si>
    <t>ERJ-3EKF4991V</t>
  </si>
  <si>
    <t>ERJ-3EKF3570V</t>
  </si>
  <si>
    <t xml:space="preserve">Pick R_ramp : </t>
  </si>
  <si>
    <t xml:space="preserve">R_t : </t>
  </si>
  <si>
    <t>ERJ-3EKF1072V</t>
  </si>
  <si>
    <t xml:space="preserve">C_res : </t>
  </si>
  <si>
    <t>C0805C474J5RACTU</t>
  </si>
  <si>
    <t xml:space="preserve">C_ss : </t>
  </si>
  <si>
    <t xml:space="preserve">C_vcc : </t>
  </si>
  <si>
    <t xml:space="preserve">C_boot : </t>
  </si>
  <si>
    <t>C0805C104K1RACTU</t>
  </si>
  <si>
    <t xml:space="preserve">R_inj : </t>
  </si>
  <si>
    <t>ERJ-3EKF10R0V</t>
  </si>
  <si>
    <t>Voltage injection for gain/phase comp; Place between V_out and top of R_fb2</t>
  </si>
  <si>
    <t xml:space="preserve">C_snb : </t>
  </si>
  <si>
    <t xml:space="preserve">R_snb : </t>
  </si>
  <si>
    <t>Low-Side FET Ringing R-C Snubber; Place between SW and GND</t>
  </si>
  <si>
    <t xml:space="preserve">D_boot : </t>
  </si>
  <si>
    <t xml:space="preserve">D_vcc : </t>
  </si>
  <si>
    <t xml:space="preserve">Q_hs : </t>
  </si>
  <si>
    <t xml:space="preserve">Q_ls : </t>
  </si>
  <si>
    <t>STMicroelectronics</t>
  </si>
  <si>
    <t>BAT46ZFILM</t>
  </si>
  <si>
    <t>Texas Instruments</t>
  </si>
  <si>
    <t>CSD19537Q3T</t>
  </si>
  <si>
    <t xml:space="preserve">U_vreg : </t>
  </si>
  <si>
    <t>LM5117PMHX/NOPB</t>
  </si>
  <si>
    <t xml:space="preserve">Value : </t>
  </si>
  <si>
    <t>X</t>
  </si>
  <si>
    <t>Ordered</t>
  </si>
  <si>
    <t>Use</t>
  </si>
  <si>
    <t>RC0603FR-074K99L</t>
  </si>
  <si>
    <t>CRCW060310K7FKEA</t>
  </si>
  <si>
    <t>C2012X7R2A104K125AA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</si>
</sst>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3" borderId="1" applyNumberFormat="0" applyAlignment="0" applyProtection="0"/>
    <xf numFmtId="0" fontId="4" fillId="4" borderId="3" applyNumberFormat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right"/>
    </xf>
    <xf numFmtId="0" fontId="2" fillId="3" borderId="2" xfId="2" applyNumberFormat="1" applyAlignment="1">
      <alignment horizontal="right"/>
    </xf>
    <xf numFmtId="0" fontId="2" fillId="3" borderId="2" xfId="2" applyAlignment="1">
      <alignment horizontal="left"/>
    </xf>
    <xf numFmtId="0" fontId="6" fillId="0" borderId="0" xfId="0" applyFont="1"/>
    <xf numFmtId="0" fontId="1" fillId="2" borderId="1" xfId="1"/>
    <xf numFmtId="11" fontId="1" fillId="2" borderId="1" xfId="1" applyNumberFormat="1"/>
    <xf numFmtId="11" fontId="3" fillId="3" borderId="1" xfId="3" applyNumberFormat="1"/>
    <xf numFmtId="11" fontId="4" fillId="4" borderId="3" xfId="4" applyNumberFormat="1"/>
    <xf numFmtId="9" fontId="1" fillId="2" borderId="1" xfId="1" applyNumberFormat="1"/>
    <xf numFmtId="0" fontId="3" fillId="3" borderId="1" xfId="3"/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" fillId="2" borderId="1" xfId="1" applyAlignment="1">
      <alignment vertical="center"/>
    </xf>
    <xf numFmtId="0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3" borderId="1" xfId="3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1" fontId="1" fillId="2" borderId="1" xfId="1" applyNumberFormat="1" applyAlignment="1">
      <alignment vertical="center"/>
    </xf>
    <xf numFmtId="0" fontId="2" fillId="3" borderId="2" xfId="2" applyNumberFormat="1" applyAlignment="1">
      <alignment horizontal="right" vertical="center"/>
    </xf>
    <xf numFmtId="0" fontId="2" fillId="3" borderId="2" xfId="2" applyAlignment="1">
      <alignment horizontal="left" vertical="center"/>
    </xf>
    <xf numFmtId="11" fontId="3" fillId="3" borderId="1" xfId="3" applyNumberFormat="1" applyAlignment="1">
      <alignment vertical="center"/>
    </xf>
    <xf numFmtId="11" fontId="4" fillId="4" borderId="3" xfId="4" applyNumberFormat="1" applyAlignment="1">
      <alignment vertical="center"/>
    </xf>
    <xf numFmtId="9" fontId="1" fillId="2" borderId="1" xfId="1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8" fillId="0" borderId="0" xfId="6" applyAlignment="1">
      <alignment vertical="center"/>
    </xf>
    <xf numFmtId="9" fontId="1" fillId="2" borderId="1" xfId="5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7">
    <cellStyle name="Calculation" xfId="3" builtinId="22"/>
    <cellStyle name="Check Cell" xfId="4" builtinId="23"/>
    <cellStyle name="Hyperlink" xfId="6" builtinId="8"/>
    <cellStyle name="Input" xfId="1" builtinId="20"/>
    <cellStyle name="Normal" xfId="0" builtinId="0"/>
    <cellStyle name="Output" xfId="2" builtinId="21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gikey.com/en/products/detail/murata-electronics/KRM55WR72A156MH01K/2782175" TargetMode="External"/><Relationship Id="rId13" Type="http://schemas.openxmlformats.org/officeDocument/2006/relationships/hyperlink" Target="https://www.digikey.com/en/products/detail/panasonic-electronic-components/ERJ-3EKF3570V/196313?s=N4IgTCBcDaIKICUBSBaAzHA0gMTQVgHYAGANRAF0BfIA" TargetMode="External"/><Relationship Id="rId18" Type="http://schemas.openxmlformats.org/officeDocument/2006/relationships/hyperlink" Target="https://www.digikey.com/en/products/detail/kemet/C0805C123J5GACAUTO/10232824" TargetMode="External"/><Relationship Id="rId26" Type="http://schemas.openxmlformats.org/officeDocument/2006/relationships/hyperlink" Target="https://www.digikey.com/en/products/detail/texas-instruments/LM5117PMHX-NOPB/2679637?s=N4IgTCBcDaIDIFkCsBGFB2ACggEgDQHoA5AeUwCEQBdAXyA" TargetMode="External"/><Relationship Id="rId3" Type="http://schemas.openxmlformats.org/officeDocument/2006/relationships/hyperlink" Target="https://www.digikey.com/en/products/detail/kemet/C0603C821J5GACTU/608469" TargetMode="External"/><Relationship Id="rId21" Type="http://schemas.openxmlformats.org/officeDocument/2006/relationships/hyperlink" Target="https://www.digikey.com/en/products/detail/panasonic-electronic-components/ERJ-3EKF10R0V/196065?s=N4IgjCBcoEwAwA4CsVQGMoDMCGAbAzgKYA0IA9lANrhwAEA8gBYC2%2BIAuqQA4AuUIAVQB2ASx71MAWULZ8AVwBOhEAF8VpGFRABRAEoApALQBmbQGkAYhxVA" TargetMode="External"/><Relationship Id="rId7" Type="http://schemas.openxmlformats.org/officeDocument/2006/relationships/hyperlink" Target="https://www.digikey.com/en/products/detail/murata-electronics/KRM55WR72A156MH01K/2782175" TargetMode="External"/><Relationship Id="rId12" Type="http://schemas.openxmlformats.org/officeDocument/2006/relationships/hyperlink" Target="https://www.digikey.com/en/products/detail/panasonic-electronic-components/ERJ-3EKF4991V/196341?s=N4IgTCBcDaIKICUBSBaAzHA0gMQCwE58BGANRAF0BfIA" TargetMode="External"/><Relationship Id="rId17" Type="http://schemas.openxmlformats.org/officeDocument/2006/relationships/hyperlink" Target="https://www.digikey.com/en/products/detail/kemet/C0805C104K1RACTU/754748" TargetMode="External"/><Relationship Id="rId25" Type="http://schemas.openxmlformats.org/officeDocument/2006/relationships/hyperlink" Target="https://www.digikey.com/en/products/detail/texas-instruments/CSD19537Q3T/5455662?s=N4IgjCBcoGwAwyqAxlAZgQwDYGcCmANCAPZQDaIAzAOwAcAnIyALpEAOALlCAMocBOASwB2AcxABfIvFpIQqSJlyES5EACYa1AKwRWITtz5CxkomHoM5CpfiKlIFOC3ZdIvASPFSNCWdHl0bDtVR3A4OAACADUXAzcQAFVhQQ4AeTQAWTwMHABXfjwzEABadWsoATyVBwptFgkfcrDMtJ4AMQBRABUGoA" TargetMode="External"/><Relationship Id="rId2" Type="http://schemas.openxmlformats.org/officeDocument/2006/relationships/hyperlink" Target="https://www.digikey.com/en/products/detail/epcos-tdk-electronics/B82559B0153A016/13165552?s=N4IgTCBcDaIEIA4wFZkE44AYCMyDMAgjgGwgC6AvkA" TargetMode="External"/><Relationship Id="rId16" Type="http://schemas.openxmlformats.org/officeDocument/2006/relationships/hyperlink" Target="https://www.digikey.com/en/products/detail/kemet/C0805C474J5RACTU/2212879" TargetMode="External"/><Relationship Id="rId20" Type="http://schemas.openxmlformats.org/officeDocument/2006/relationships/hyperlink" Target="https://www.digikey.com/en/products/detail/kemet/C0805C123J5GACAUTO/10232824" TargetMode="External"/><Relationship Id="rId1" Type="http://schemas.openxmlformats.org/officeDocument/2006/relationships/hyperlink" Target="https://www.digikey.com/en/products/detail/vishay-dale/WSLP1206R0150FEA/1883280?s=N4IgTCBcDaIOoGUAyAFAjGADANgEqbQFZMAxAUQEEQBdAXyA" TargetMode="External"/><Relationship Id="rId6" Type="http://schemas.openxmlformats.org/officeDocument/2006/relationships/hyperlink" Target="https://www.digikey.com/en/products/detail/panasonic-electronic-components/ERJ-3EKF7501V/196458?s=N4IgTCBcDaIKICUBSBaAzHA0gMQOwFYAGARgDUQBdAXyA" TargetMode="External"/><Relationship Id="rId11" Type="http://schemas.openxmlformats.org/officeDocument/2006/relationships/hyperlink" Target="https://www.digikey.com/en/products/detail/kemet/C0805C123J5GACAUTO/10232824" TargetMode="External"/><Relationship Id="rId24" Type="http://schemas.openxmlformats.org/officeDocument/2006/relationships/hyperlink" Target="https://www.digikey.com/en/products/detail/stmicroelectronics/BAT46ZFILM/1207026" TargetMode="External"/><Relationship Id="rId5" Type="http://schemas.openxmlformats.org/officeDocument/2006/relationships/hyperlink" Target="https://www.digikey.com/en/products/detail/panasonic-electronic-components/ERJ-3EKF1003V/196075?s=N4IgTCBcDaIKICUBSBaAzHA0gMQIwAZ80A1EAXQF8g" TargetMode="External"/><Relationship Id="rId15" Type="http://schemas.openxmlformats.org/officeDocument/2006/relationships/hyperlink" Target="https://www.digikey.com/en/products/detail/kemet/C0805C474J5RACTU/2212879" TargetMode="External"/><Relationship Id="rId23" Type="http://schemas.openxmlformats.org/officeDocument/2006/relationships/hyperlink" Target="https://www.digikey.com/en/products/detail/texas-instruments/CSD19537Q3T/5455662?s=N4IgjCBcoGwAwyqAxlAZgQwDYGcCmANCAPZQDaIAzAOwAcAnIyALpEAOALlCAMocBOASwB2AcxABfIvFpIQqSJlyES5EACYa1AKwRWITtz5CxkomHoM5CpfiKlIFOC3ZdIvASPFSNCWdHl0bDtVR3A4OAACADUXAzcQAFVhQQ4AeTQAWTwMHABXfjwzEABadWsoATyVBwptFgkfcrDMtJ4AMQBRABUGoA" TargetMode="External"/><Relationship Id="rId10" Type="http://schemas.openxmlformats.org/officeDocument/2006/relationships/hyperlink" Target="https://www.digikey.com/en/products/detail/kemet/C0603C279C5GACTU/2200448?s=N4IgTCBcDaIMIAYBsCDMcwHYCccCsA4gIJwAqAqiALoC%2BQA" TargetMode="External"/><Relationship Id="rId19" Type="http://schemas.openxmlformats.org/officeDocument/2006/relationships/hyperlink" Target="https://www.digikey.com/en/products/detail/panasonic-electronic-components/ERJ-3EKF10R0V/196065?s=N4IgjCBcoEwAwA4CsVQGMoDMCGAbAzgKYA0IA9lANrhwAEA8gBYC2%2BIAuqQA4AuUIAVQB2ASx71MAWULZ8AVwBOhEAF8VpGFRABRAEoApALQBmbQGkAYhxVA" TargetMode="External"/><Relationship Id="rId4" Type="http://schemas.openxmlformats.org/officeDocument/2006/relationships/hyperlink" Target="https://www.digikey.com/en/products/detail/panasonic-electronic-components/ERJ-3EKF1213V/196105?s=N4IgjCBcoEwAwA4CsVQGMoDMCGAbAzgKYA0IA9lANrgxgAEA1gPIAWAtviALqkAOALlBABVAHYBLfk0wBZQtnwBXAE6EQAX3WkYVEAFEASgCkAtAGY9AaQBi3dUA" TargetMode="External"/><Relationship Id="rId9" Type="http://schemas.openxmlformats.org/officeDocument/2006/relationships/hyperlink" Target="https://www.digikey.com/en/products/detail/panasonic-electronic-components/ERJ-3EKF1242V/196101" TargetMode="External"/><Relationship Id="rId14" Type="http://schemas.openxmlformats.org/officeDocument/2006/relationships/hyperlink" Target="https://www.digikey.com/en/products/detail/panasonic-electronic-components/ERJ-3EKF1072V/196073?s=N4IgTCBcDaIKICUBSBaAzHA0gMQIwAYB2MANRAF0BfIA" TargetMode="External"/><Relationship Id="rId22" Type="http://schemas.openxmlformats.org/officeDocument/2006/relationships/hyperlink" Target="https://www.digikey.com/en/products/detail/stmicroelectronics/BAT46ZFILM/1207026" TargetMode="External"/><Relationship Id="rId27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gikey.com/en/products/detail/murata-electronics/KRM55WR72A156MH01K/2782175" TargetMode="External"/><Relationship Id="rId13" Type="http://schemas.openxmlformats.org/officeDocument/2006/relationships/hyperlink" Target="https://www.digikey.com/en/products/detail/panasonic-electronic-components/ERJ-3EKF3570V/196313?s=N4IgTCBcDaIKICUBSBaAzHA0gMTQVgHYAGANRAF0BfIA" TargetMode="External"/><Relationship Id="rId18" Type="http://schemas.openxmlformats.org/officeDocument/2006/relationships/hyperlink" Target="https://www.digikey.com/en/products/detail/kemet/C0805C123J5GACAUTO/10232824" TargetMode="External"/><Relationship Id="rId26" Type="http://schemas.openxmlformats.org/officeDocument/2006/relationships/hyperlink" Target="https://www.digikey.com/en/products/detail/texas-instruments/LM5117PMHX-NOPB/2679637?s=N4IgTCBcDaIDIFkCsBGFB2ACggEgDQHoA5AeUwCEQBdAXyA" TargetMode="External"/><Relationship Id="rId3" Type="http://schemas.openxmlformats.org/officeDocument/2006/relationships/hyperlink" Target="https://www.digikey.com/en/products/detail/kemet/C0603C821J5GACTU/608469" TargetMode="External"/><Relationship Id="rId21" Type="http://schemas.openxmlformats.org/officeDocument/2006/relationships/hyperlink" Target="https://www.digikey.com/en/products/detail/panasonic-electronic-components/ERJ-3EKF10R0V/196065?s=N4IgjCBcoEwAwA4CsVQGMoDMCGAbAzgKYA0IA9lANrhwAEA8gBYC2%2BIAuqQA4AuUIAVQB2ASx71MAWULZ8AVwBOhEAF8VpGFRABRAEoApALQBmbQGkAYhxVA" TargetMode="External"/><Relationship Id="rId7" Type="http://schemas.openxmlformats.org/officeDocument/2006/relationships/hyperlink" Target="https://www.digikey.com/en/products/detail/murata-electronics/KRM55WR72A156MH01K/2782175" TargetMode="External"/><Relationship Id="rId12" Type="http://schemas.openxmlformats.org/officeDocument/2006/relationships/hyperlink" Target="https://www.digikey.com/en/products/detail/panasonic-electronic-components/ERJ-3EKF4991V/196341?s=N4IgTCBcDaIKICUBSBaAzHA0gMQCwE58BGANRAF0BfIA" TargetMode="External"/><Relationship Id="rId17" Type="http://schemas.openxmlformats.org/officeDocument/2006/relationships/hyperlink" Target="https://www.digikey.com/en/products/detail/kemet/C0805C104K1RACTU/754748" TargetMode="External"/><Relationship Id="rId25" Type="http://schemas.openxmlformats.org/officeDocument/2006/relationships/hyperlink" Target="https://www.digikey.com/en/products/detail/texas-instruments/CSD19537Q3T/5455662?s=N4IgjCBcoGwAwyqAxlAZgQwDYGcCmANCAPZQDaIAzAOwAcAnIyALpEAOALlCAMocBOASwB2AcxABfIvFpIQqSJlyES5EACYa1AKwRWITtz5CxkomHoM5CpfiKlIFOC3ZdIvASPFSNCWdHl0bDtVR3A4OAACADUXAzcQAFVhQQ4AeTQAWTwMHABXfjwzEABadWsoATyVBwptFgkfcrDMtJ4AMQBRABUGoA" TargetMode="External"/><Relationship Id="rId2" Type="http://schemas.openxmlformats.org/officeDocument/2006/relationships/hyperlink" Target="https://www.digikey.com/en/products/detail/epcos-tdk-electronics/B82559B0153A016/13165552?s=N4IgTCBcDaIEIA4wFZkE44AYCMyDMAgjgGwgC6AvkA" TargetMode="External"/><Relationship Id="rId16" Type="http://schemas.openxmlformats.org/officeDocument/2006/relationships/hyperlink" Target="https://www.digikey.com/en/products/detail/kemet/C0805C474J5RACTU/2212879" TargetMode="External"/><Relationship Id="rId20" Type="http://schemas.openxmlformats.org/officeDocument/2006/relationships/hyperlink" Target="https://www.digikey.com/en/products/detail/kemet/C0805C123J5GACAUTO/10232824" TargetMode="External"/><Relationship Id="rId1" Type="http://schemas.openxmlformats.org/officeDocument/2006/relationships/hyperlink" Target="https://www.digikey.com/en/products/detail/vishay-dale/WSLP1206R0150FEA/1883280?s=N4IgTCBcDaIOoGUAyAFAjGADANgEqbQFZMAxAUQEEQBdAXyA" TargetMode="External"/><Relationship Id="rId6" Type="http://schemas.openxmlformats.org/officeDocument/2006/relationships/hyperlink" Target="https://www.digikey.com/en/products/detail/panasonic-electronic-components/ERJ-3EKF7501V/196458?s=N4IgTCBcDaIKICUBSBaAzHA0gMQOwFYAGARgDUQBdAXyA" TargetMode="External"/><Relationship Id="rId11" Type="http://schemas.openxmlformats.org/officeDocument/2006/relationships/hyperlink" Target="https://www.digikey.com/en/products/detail/kemet/C0805C123J5GACAUTO/10232824" TargetMode="External"/><Relationship Id="rId24" Type="http://schemas.openxmlformats.org/officeDocument/2006/relationships/hyperlink" Target="https://www.digikey.com/en/products/detail/stmicroelectronics/BAT46ZFILM/1207026" TargetMode="External"/><Relationship Id="rId5" Type="http://schemas.openxmlformats.org/officeDocument/2006/relationships/hyperlink" Target="https://www.digikey.com/en/products/detail/panasonic-electronic-components/ERJ-3EKF1003V/196075?s=N4IgTCBcDaIKICUBSBaAzHA0gMQIwAZ80A1EAXQF8g" TargetMode="External"/><Relationship Id="rId15" Type="http://schemas.openxmlformats.org/officeDocument/2006/relationships/hyperlink" Target="https://www.digikey.com/en/products/detail/kemet/C0805C474J5RACTU/2212879" TargetMode="External"/><Relationship Id="rId23" Type="http://schemas.openxmlformats.org/officeDocument/2006/relationships/hyperlink" Target="https://www.digikey.com/en/products/detail/texas-instruments/CSD19537Q3T/5455662?s=N4IgjCBcoGwAwyqAxlAZgQwDYGcCmANCAPZQDaIAzAOwAcAnIyALpEAOALlCAMocBOASwB2AcxABfIvFpIQqSJlyES5EACYa1AKwRWITtz5CxkomHoM5CpfiKlIFOC3ZdIvASPFSNCWdHl0bDtVR3A4OAACADUXAzcQAFVhQQ4AeTQAWTwMHABXfjwzEABadWsoATyVBwptFgkfcrDMtJ4AMQBRABUGoA" TargetMode="External"/><Relationship Id="rId10" Type="http://schemas.openxmlformats.org/officeDocument/2006/relationships/hyperlink" Target="https://www.digikey.com/en/products/detail/kemet/C0603C279C5GACTU/2200448?s=N4IgTCBcDaIMIAYBsCDMcwHYCccCsA4gIJwAqAqiALoC%2BQA" TargetMode="External"/><Relationship Id="rId19" Type="http://schemas.openxmlformats.org/officeDocument/2006/relationships/hyperlink" Target="https://www.digikey.com/en/products/detail/panasonic-electronic-components/ERJ-3EKF10R0V/196065?s=N4IgjCBcoEwAwA4CsVQGMoDMCGAbAzgKYA0IA9lANrhwAEA8gBYC2%2BIAuqQA4AuUIAVQB2ASx71MAWULZ8AVwBOhEAF8VpGFRABRAEoApALQBmbQGkAYhxVA" TargetMode="External"/><Relationship Id="rId4" Type="http://schemas.openxmlformats.org/officeDocument/2006/relationships/hyperlink" Target="https://www.digikey.com/en/products/detail/panasonic-electronic-components/ERJ-3EKF1213V/196105?s=N4IgjCBcoEwAwA4CsVQGMoDMCGAbAzgKYA0IA9lANrgxgAEA1gPIAWAtviALqkAOALlBABVAHYBLfk0wBZQtnwBXAE6EQAX3WkYVEAFEASgCkAtAGY9AaQBi3dUA" TargetMode="External"/><Relationship Id="rId9" Type="http://schemas.openxmlformats.org/officeDocument/2006/relationships/hyperlink" Target="https://www.digikey.com/en/products/detail/panasonic-electronic-components/ERJ-3EKF1242V/196101" TargetMode="External"/><Relationship Id="rId14" Type="http://schemas.openxmlformats.org/officeDocument/2006/relationships/hyperlink" Target="https://www.digikey.com/en/products/detail/panasonic-electronic-components/ERJ-3EKF1072V/196073?s=N4IgTCBcDaIKICUBSBaAzHA0gMQIwAYB2MANRAF0BfIA" TargetMode="External"/><Relationship Id="rId22" Type="http://schemas.openxmlformats.org/officeDocument/2006/relationships/hyperlink" Target="https://www.digikey.com/en/products/detail/stmicroelectronics/BAT46ZFILM/1207026" TargetMode="External"/><Relationship Id="rId27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gikey.com/en/products/detail/murata-electronics/KRM55WR72A156MH01K/2782175" TargetMode="External"/><Relationship Id="rId13" Type="http://schemas.openxmlformats.org/officeDocument/2006/relationships/hyperlink" Target="https://www.digikey.com/en/products/detail/panasonic-electronic-components/ERJ-3EKF3570V/196313?s=N4IgTCBcDaIKICUBSBaAzHA0gMTQVgHYAGANRAF0BfIA" TargetMode="External"/><Relationship Id="rId18" Type="http://schemas.openxmlformats.org/officeDocument/2006/relationships/hyperlink" Target="https://www.digikey.com/en/products/detail/kemet/C0805C123J5GACAUTO/10232824" TargetMode="External"/><Relationship Id="rId26" Type="http://schemas.openxmlformats.org/officeDocument/2006/relationships/hyperlink" Target="https://www.digikey.com/en/products/detail/texas-instruments/LM5117PMHX-NOPB/2679637?s=N4IgTCBcDaIDIFkCsBGFB2ACggEgDQHoA5AeUwCEQBdAXyA" TargetMode="External"/><Relationship Id="rId3" Type="http://schemas.openxmlformats.org/officeDocument/2006/relationships/hyperlink" Target="https://www.digikey.com/en/products/detail/kemet/C0603C821J5GACTU/608469" TargetMode="External"/><Relationship Id="rId21" Type="http://schemas.openxmlformats.org/officeDocument/2006/relationships/hyperlink" Target="https://www.digikey.com/en/products/detail/panasonic-electronic-components/ERJ-3EKF10R0V/196065?s=N4IgjCBcoEwAwA4CsVQGMoDMCGAbAzgKYA0IA9lANrhwAEA8gBYC2%2BIAuqQA4AuUIAVQB2ASx71MAWULZ8AVwBOhEAF8VpGFRABRAEoApALQBmbQGkAYhxVA" TargetMode="External"/><Relationship Id="rId7" Type="http://schemas.openxmlformats.org/officeDocument/2006/relationships/hyperlink" Target="https://www.digikey.com/en/products/detail/murata-electronics/KRM55WR72A156MH01K/2782175" TargetMode="External"/><Relationship Id="rId12" Type="http://schemas.openxmlformats.org/officeDocument/2006/relationships/hyperlink" Target="https://www.digikey.com/en/products/detail/panasonic-electronic-components/ERJ-3EKF4991V/196341?s=N4IgTCBcDaIKICUBSBaAzHA0gMQCwE58BGANRAF0BfIA" TargetMode="External"/><Relationship Id="rId17" Type="http://schemas.openxmlformats.org/officeDocument/2006/relationships/hyperlink" Target="https://www.digikey.com/en/products/detail/kemet/C0805C104K1RACTU/754748" TargetMode="External"/><Relationship Id="rId25" Type="http://schemas.openxmlformats.org/officeDocument/2006/relationships/hyperlink" Target="https://www.digikey.com/en/products/detail/texas-instruments/CSD19537Q3T/5455662?s=N4IgjCBcoGwAwyqAxlAZgQwDYGcCmANCAPZQDaIAzAOwAcAnIyALpEAOALlCAMocBOASwB2AcxABfIvFpIQqSJlyES5EACYa1AKwRWITtz5CxkomHoM5CpfiKlIFOC3ZdIvASPFSNCWdHl0bDtVR3A4OAACADUXAzcQAFVhQQ4AeTQAWTwMHABXfjwzEABadWsoATyVBwptFgkfcrDMtJ4AMQBRABUGoA" TargetMode="External"/><Relationship Id="rId2" Type="http://schemas.openxmlformats.org/officeDocument/2006/relationships/hyperlink" Target="https://www.digikey.com/en/products/detail/epcos-tdk-electronics/B82559B0153A016/13165552?s=N4IgTCBcDaIEIA4wFZkE44AYCMyDMAgjgGwgC6AvkA" TargetMode="External"/><Relationship Id="rId16" Type="http://schemas.openxmlformats.org/officeDocument/2006/relationships/hyperlink" Target="https://www.digikey.com/en/products/detail/kemet/C0805C474J5RACTU/2212879" TargetMode="External"/><Relationship Id="rId20" Type="http://schemas.openxmlformats.org/officeDocument/2006/relationships/hyperlink" Target="https://www.digikey.com/en/products/detail/kemet/C0805C123J5GACAUTO/10232824" TargetMode="External"/><Relationship Id="rId1" Type="http://schemas.openxmlformats.org/officeDocument/2006/relationships/hyperlink" Target="https://www.digikey.com/en/products/detail/vishay-dale/WSLP1206R0150FEA/1883280?s=N4IgTCBcDaIOoGUAyAFAjGADANgEqbQFZMAxAUQEEQBdAXyA" TargetMode="External"/><Relationship Id="rId6" Type="http://schemas.openxmlformats.org/officeDocument/2006/relationships/hyperlink" Target="https://www.digikey.com/en/products/detail/panasonic-electronic-components/ERJ-3EKF7501V/196458?s=N4IgTCBcDaIKICUBSBaAzHA0gMQOwFYAGARgDUQBdAXyA" TargetMode="External"/><Relationship Id="rId11" Type="http://schemas.openxmlformats.org/officeDocument/2006/relationships/hyperlink" Target="https://www.digikey.com/en/products/detail/kemet/C0805C123J5GACAUTO/10232824" TargetMode="External"/><Relationship Id="rId24" Type="http://schemas.openxmlformats.org/officeDocument/2006/relationships/hyperlink" Target="https://www.digikey.com/en/products/detail/stmicroelectronics/BAT46ZFILM/1207026" TargetMode="External"/><Relationship Id="rId5" Type="http://schemas.openxmlformats.org/officeDocument/2006/relationships/hyperlink" Target="https://www.digikey.com/en/products/detail/panasonic-electronic-components/ERJ-3EKF1003V/196075?s=N4IgTCBcDaIKICUBSBaAzHA0gMQIwAZ80A1EAXQF8g" TargetMode="External"/><Relationship Id="rId15" Type="http://schemas.openxmlformats.org/officeDocument/2006/relationships/hyperlink" Target="https://www.digikey.com/en/products/detail/kemet/C0805C474J5RACTU/2212879" TargetMode="External"/><Relationship Id="rId23" Type="http://schemas.openxmlformats.org/officeDocument/2006/relationships/hyperlink" Target="https://www.digikey.com/en/products/detail/texas-instruments/CSD19537Q3T/5455662?s=N4IgjCBcoGwAwyqAxlAZgQwDYGcCmANCAPZQDaIAzAOwAcAnIyALpEAOALlCAMocBOASwB2AcxABfIvFpIQqSJlyES5EACYa1AKwRWITtz5CxkomHoM5CpfiKlIFOC3ZdIvASPFSNCWdHl0bDtVR3A4OAACADUXAzcQAFVhQQ4AeTQAWTwMHABXfjwzEABadWsoATyVBwptFgkfcrDMtJ4AMQBRABUGoA" TargetMode="External"/><Relationship Id="rId10" Type="http://schemas.openxmlformats.org/officeDocument/2006/relationships/hyperlink" Target="https://www.digikey.com/en/products/detail/kemet/C0603C279C5GACTU/2200448?s=N4IgTCBcDaIMIAYBsCDMcwHYCccCsA4gIJwAqAqiALoC%2BQA" TargetMode="External"/><Relationship Id="rId19" Type="http://schemas.openxmlformats.org/officeDocument/2006/relationships/hyperlink" Target="https://www.digikey.com/en/products/detail/panasonic-electronic-components/ERJ-3EKF10R0V/196065?s=N4IgjCBcoEwAwA4CsVQGMoDMCGAbAzgKYA0IA9lANrhwAEA8gBYC2%2BIAuqQA4AuUIAVQB2ASx71MAWULZ8AVwBOhEAF8VpGFRABRAEoApALQBmbQGkAYhxVA" TargetMode="External"/><Relationship Id="rId4" Type="http://schemas.openxmlformats.org/officeDocument/2006/relationships/hyperlink" Target="https://www.digikey.com/en/products/detail/panasonic-electronic-components/ERJ-3EKF1213V/196105?s=N4IgjCBcoEwAwA4CsVQGMoDMCGAbAzgKYA0IA9lANrgxgAEA1gPIAWAtviALqkAOALlBABVAHYBLfk0wBZQtnwBXAE6EQAX3WkYVEAFEASgCkAtAGY9AaQBi3dUA" TargetMode="External"/><Relationship Id="rId9" Type="http://schemas.openxmlformats.org/officeDocument/2006/relationships/hyperlink" Target="https://www.digikey.com/en/products/detail/panasonic-electronic-components/ERJ-3EKF1242V/196101" TargetMode="External"/><Relationship Id="rId14" Type="http://schemas.openxmlformats.org/officeDocument/2006/relationships/hyperlink" Target="https://www.digikey.com/en/products/detail/panasonic-electronic-components/ERJ-3EKF1072V/196073?s=N4IgTCBcDaIKICUBSBaAzHA0gMQIwAYB2MANRAF0BfIA" TargetMode="External"/><Relationship Id="rId22" Type="http://schemas.openxmlformats.org/officeDocument/2006/relationships/hyperlink" Target="https://www.digikey.com/en/products/detail/stmicroelectronics/BAT46ZFILM/1207026" TargetMode="External"/><Relationship Id="rId27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gikey.com/en/products/detail/murata-electronics/KRM55WR72A156MH01K/2782175" TargetMode="External"/><Relationship Id="rId3" Type="http://schemas.openxmlformats.org/officeDocument/2006/relationships/hyperlink" Target="https://www.digikey.com/en/products/detail/kemet/C0603C821J5GACTU/608469" TargetMode="External"/><Relationship Id="rId7" Type="http://schemas.openxmlformats.org/officeDocument/2006/relationships/hyperlink" Target="https://www.digikey.com/en/products/detail/murata-electronics/KRM55WR72A156MH01K/2782175" TargetMode="External"/><Relationship Id="rId12" Type="http://schemas.openxmlformats.org/officeDocument/2006/relationships/printerSettings" Target="../printerSettings/printerSettings4.bin"/><Relationship Id="rId2" Type="http://schemas.openxmlformats.org/officeDocument/2006/relationships/hyperlink" Target="https://www.digikey.com/en/products/detail/epcos-tdk-electronics/B82559B7103A016/13165548" TargetMode="External"/><Relationship Id="rId1" Type="http://schemas.openxmlformats.org/officeDocument/2006/relationships/hyperlink" Target="https://www.digikey.com/en/products/detail/vishay-dale/WSLP1206R0140FEA/9755371" TargetMode="External"/><Relationship Id="rId6" Type="http://schemas.openxmlformats.org/officeDocument/2006/relationships/hyperlink" Target="https://www.digikey.com/en/products/detail/panasonic-electronic-components/ERJ-3EKF7501V/196458?s=N4IgTCBcDaIKICUBSBaAzHA0gMQOwFYAGARgDUQBdAXyA" TargetMode="External"/><Relationship Id="rId11" Type="http://schemas.openxmlformats.org/officeDocument/2006/relationships/hyperlink" Target="https://www.digikey.com/en/products/detail/kemet/C0805C123J5GACAUTO/10232824" TargetMode="External"/><Relationship Id="rId5" Type="http://schemas.openxmlformats.org/officeDocument/2006/relationships/hyperlink" Target="https://www.digikey.com/en/products/detail/panasonic-electronic-components/ERJ-3EKF1003V/196075?s=N4IgTCBcDaIKICUBSBaAzHA0gMQIwAZ80A1EAXQF8g" TargetMode="External"/><Relationship Id="rId10" Type="http://schemas.openxmlformats.org/officeDocument/2006/relationships/hyperlink" Target="https://www.digikey.com/en/products/detail/kemet/C0603C399C5GACTU/2200727" TargetMode="External"/><Relationship Id="rId4" Type="http://schemas.openxmlformats.org/officeDocument/2006/relationships/hyperlink" Target="https://www.digikey.com/en/products/detail/panasonic-electronic-components/ERJ-3EKF8872V/196504" TargetMode="External"/><Relationship Id="rId9" Type="http://schemas.openxmlformats.org/officeDocument/2006/relationships/hyperlink" Target="https://www.digikey.com/en/products/detail/panasonic-electronic-components/ERJ-3EKF8661V/196485?s=N4IgTCBcDaIKICUBSBaAzHA0gMQBwDZ8BGANRAF0BfIA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2D59F-C6AC-4419-A4DA-BD8CB0EC661F}">
  <dimension ref="B1:U104"/>
  <sheetViews>
    <sheetView zoomScaleNormal="100" workbookViewId="0"/>
  </sheetViews>
  <sheetFormatPr defaultColWidth="8.88671875" defaultRowHeight="14.4" x14ac:dyDescent="0.3"/>
  <cols>
    <col min="1" max="1" width="8.88671875" style="19"/>
    <col min="2" max="2" width="20.6640625" style="24" bestFit="1" customWidth="1"/>
    <col min="3" max="10" width="12.77734375" style="19" customWidth="1"/>
    <col min="11" max="14" width="12.77734375" style="19" hidden="1" customWidth="1"/>
    <col min="15" max="15" width="12.77734375" style="19" customWidth="1"/>
    <col min="16" max="17" width="10.109375" style="42" bestFit="1" customWidth="1"/>
    <col min="18" max="18" width="20.6640625" style="19" bestFit="1" customWidth="1"/>
    <col min="19" max="19" width="22" style="19" bestFit="1" customWidth="1"/>
    <col min="20" max="20" width="16.88671875" style="19" bestFit="1" customWidth="1"/>
    <col min="21" max="16384" width="8.88671875" style="19"/>
  </cols>
  <sheetData>
    <row r="1" spans="2:21" x14ac:dyDescent="0.3">
      <c r="J1" s="46" t="s">
        <v>8</v>
      </c>
      <c r="K1" s="46"/>
      <c r="L1" s="46"/>
      <c r="M1" s="46"/>
      <c r="N1" s="46"/>
    </row>
    <row r="2" spans="2:21" x14ac:dyDescent="0.3">
      <c r="B2" s="21" t="s">
        <v>150</v>
      </c>
      <c r="C2" s="20" t="s">
        <v>22</v>
      </c>
      <c r="D2" s="20" t="s">
        <v>23</v>
      </c>
      <c r="E2" s="20" t="s">
        <v>82</v>
      </c>
      <c r="F2" s="20" t="s">
        <v>83</v>
      </c>
      <c r="G2" s="20" t="s">
        <v>24</v>
      </c>
      <c r="H2" s="20" t="s">
        <v>9</v>
      </c>
      <c r="J2" s="21" t="s">
        <v>22</v>
      </c>
      <c r="K2" s="21" t="s">
        <v>23</v>
      </c>
      <c r="L2" s="21" t="s">
        <v>82</v>
      </c>
      <c r="M2" s="21" t="s">
        <v>83</v>
      </c>
      <c r="N2" s="21" t="s">
        <v>24</v>
      </c>
      <c r="O2" s="22" t="s">
        <v>9</v>
      </c>
      <c r="P2" s="20" t="s">
        <v>152</v>
      </c>
      <c r="Q2" s="40" t="s">
        <v>22</v>
      </c>
      <c r="R2" s="23" t="s">
        <v>87</v>
      </c>
      <c r="S2" s="23" t="s">
        <v>88</v>
      </c>
      <c r="T2" s="23" t="s">
        <v>153</v>
      </c>
      <c r="U2" s="23" t="s">
        <v>15</v>
      </c>
    </row>
    <row r="3" spans="2:21" x14ac:dyDescent="0.3">
      <c r="B3" s="24" t="s">
        <v>21</v>
      </c>
      <c r="C3" s="28">
        <f>MAX(D3:G3)</f>
        <v>52</v>
      </c>
      <c r="D3" s="25">
        <v>20</v>
      </c>
      <c r="E3" s="25">
        <v>24</v>
      </c>
      <c r="F3" s="25">
        <v>36</v>
      </c>
      <c r="G3" s="25">
        <v>52</v>
      </c>
      <c r="H3" s="19" t="s">
        <v>0</v>
      </c>
      <c r="J3" s="26">
        <f>IF(ISBLANK(C3),"",IFERROR(ROUND(C3 / (
  1000 ^ INT(LOG(ABS(C3),1000)) ),3
),"-"))</f>
        <v>52</v>
      </c>
      <c r="K3" s="26">
        <f>IF(ISBLANK(D3),"",IFERROR(ROUND(D3 / (
  1000 ^ INT(LOG(ABS(D3),1000)) ),3
),"-"))</f>
        <v>20</v>
      </c>
      <c r="L3" s="26">
        <f>IF(ISBLANK(E3),"",IFERROR(ROUND(E3 / (
  1000 ^ INT(LOG(ABS(E3),1000)) ),3
),"-"))</f>
        <v>24</v>
      </c>
      <c r="M3" s="26">
        <f>IF(ISBLANK(F3),"",IFERROR(ROUND(F3 / (
  1000 ^ INT(LOG(ABS(F3),1000)) ),3
),"-"))</f>
        <v>36</v>
      </c>
      <c r="N3" s="26">
        <f>IF(ISBLANK(G3),"",IFERROR(ROUND(G3 / (
  1000 ^ INT(LOG(ABS(G3),1000)) ),3
),"-"))</f>
        <v>52</v>
      </c>
      <c r="O3" s="27" t="str">
        <f>IF(ISBLANK($H3),"",IFERROR(CHOOSE(
  INT(LOG(ABS(C5),1000)) + 6,"f","p","n","µ","m","","k","M","G","T","P"
) &amp; $H3,"-"))</f>
        <v>V</v>
      </c>
      <c r="P3" s="19"/>
      <c r="Q3" s="19"/>
    </row>
    <row r="4" spans="2:21" x14ac:dyDescent="0.3">
      <c r="B4" s="24" t="s">
        <v>20</v>
      </c>
      <c r="C4" s="28">
        <f>MIN(D3:G3)</f>
        <v>20</v>
      </c>
      <c r="H4" s="19" t="s">
        <v>0</v>
      </c>
      <c r="J4" s="26">
        <f>IF(ISBLANK(C4),"",IFERROR(ROUND(C4 / (
  1000 ^ INT(LOG(ABS(C4),1000)) ),3
),"-"))</f>
        <v>20</v>
      </c>
      <c r="K4" s="26" t="str">
        <f t="shared" ref="K4:N17" si="0">IF(ISBLANK(D4),"",IFERROR(ROUND(D4 / (
  1000 ^ INT(LOG(ABS(D4),1000)) ),3
),"-"))</f>
        <v/>
      </c>
      <c r="L4" s="26" t="str">
        <f t="shared" si="0"/>
        <v/>
      </c>
      <c r="M4" s="26" t="str">
        <f t="shared" si="0"/>
        <v/>
      </c>
      <c r="N4" s="26" t="str">
        <f t="shared" si="0"/>
        <v/>
      </c>
      <c r="O4" s="27" t="str">
        <f>IF(ISBLANK($H4),"",IFERROR(CHOOSE(
  INT(LOG(ABS(C4),1000)) + 6,"f","p","n","µ","m","","k","M","G","T","P"
) &amp; $H4,"-"))</f>
        <v>V</v>
      </c>
      <c r="P4" s="19"/>
      <c r="Q4" s="19"/>
    </row>
    <row r="5" spans="2:21" x14ac:dyDescent="0.3">
      <c r="B5" s="24" t="s">
        <v>10</v>
      </c>
      <c r="C5" s="25">
        <v>5</v>
      </c>
      <c r="H5" s="19" t="s">
        <v>1</v>
      </c>
      <c r="J5" s="26">
        <f t="shared" ref="J5" si="1">IF(ISBLANK(C5),"",IFERROR(ROUND(C5 / (
  1000 ^ INT(LOG(ABS(C5),1000)) ),3
),"-"))</f>
        <v>5</v>
      </c>
      <c r="K5" s="26" t="str">
        <f t="shared" si="0"/>
        <v/>
      </c>
      <c r="L5" s="26" t="str">
        <f t="shared" si="0"/>
        <v/>
      </c>
      <c r="M5" s="26" t="str">
        <f t="shared" si="0"/>
        <v/>
      </c>
      <c r="N5" s="26" t="str">
        <f t="shared" si="0"/>
        <v/>
      </c>
      <c r="O5" s="27" t="str">
        <f t="shared" ref="O5:O81" si="2">IF(ISBLANK($H5),"",IFERROR(CHOOSE(
  INT(LOG(ABS(C5),1000)) + 6,"f","p","n","µ","m","","k","M","G","T","P"
) &amp; $H5,"-"))</f>
        <v>A</v>
      </c>
      <c r="P5" s="19"/>
      <c r="Q5" s="19"/>
    </row>
    <row r="6" spans="2:21" x14ac:dyDescent="0.3">
      <c r="B6" s="41" t="s">
        <v>84</v>
      </c>
      <c r="J6" s="26" t="str">
        <f t="shared" ref="J6:J81" si="3">IF(ISBLANK(C6),"",IFERROR(ROUND(C6 / (
  1000 ^ INT(LOG(ABS(C6),1000)) ),3
),"-"))</f>
        <v/>
      </c>
      <c r="K6" s="26" t="str">
        <f t="shared" si="0"/>
        <v/>
      </c>
      <c r="L6" s="26" t="str">
        <f t="shared" si="0"/>
        <v/>
      </c>
      <c r="M6" s="26" t="str">
        <f t="shared" si="0"/>
        <v/>
      </c>
      <c r="N6" s="26" t="str">
        <f t="shared" si="0"/>
        <v/>
      </c>
      <c r="O6" s="27" t="str">
        <f t="shared" si="2"/>
        <v/>
      </c>
      <c r="P6" s="19"/>
      <c r="Q6" s="19"/>
    </row>
    <row r="7" spans="2:21" x14ac:dyDescent="0.3">
      <c r="B7" s="24" t="s">
        <v>60</v>
      </c>
      <c r="C7" s="25">
        <v>12</v>
      </c>
      <c r="H7" s="19" t="s">
        <v>0</v>
      </c>
      <c r="J7" s="26">
        <f t="shared" si="3"/>
        <v>12</v>
      </c>
      <c r="K7" s="26" t="str">
        <f t="shared" si="0"/>
        <v/>
      </c>
      <c r="L7" s="26" t="str">
        <f t="shared" si="0"/>
        <v/>
      </c>
      <c r="M7" s="26" t="str">
        <f t="shared" si="0"/>
        <v/>
      </c>
      <c r="N7" s="26" t="str">
        <f t="shared" si="0"/>
        <v/>
      </c>
      <c r="O7" s="27" t="str">
        <f t="shared" si="2"/>
        <v>V</v>
      </c>
      <c r="P7" s="19"/>
      <c r="Q7" s="19"/>
    </row>
    <row r="8" spans="2:21" x14ac:dyDescent="0.3">
      <c r="B8" s="29" t="s">
        <v>61</v>
      </c>
      <c r="C8" s="30">
        <v>4990</v>
      </c>
      <c r="H8" s="19" t="s">
        <v>11</v>
      </c>
      <c r="J8" s="31">
        <f t="shared" si="3"/>
        <v>4.99</v>
      </c>
      <c r="K8" s="31" t="str">
        <f t="shared" si="0"/>
        <v/>
      </c>
      <c r="L8" s="31" t="str">
        <f t="shared" si="0"/>
        <v/>
      </c>
      <c r="M8" s="31" t="str">
        <f t="shared" si="0"/>
        <v/>
      </c>
      <c r="N8" s="31" t="str">
        <f t="shared" si="0"/>
        <v/>
      </c>
      <c r="O8" s="32" t="str">
        <f t="shared" si="2"/>
        <v>kOhms</v>
      </c>
      <c r="P8" s="42" t="s">
        <v>151</v>
      </c>
      <c r="Q8" s="44" t="s">
        <v>151</v>
      </c>
      <c r="R8" s="19" t="s">
        <v>99</v>
      </c>
      <c r="S8" s="38" t="s">
        <v>123</v>
      </c>
      <c r="T8" s="19" t="s">
        <v>154</v>
      </c>
    </row>
    <row r="9" spans="2:21" x14ac:dyDescent="0.3">
      <c r="B9" s="29" t="s">
        <v>62</v>
      </c>
      <c r="C9" s="33">
        <f>$C$8/($C$7/0.8-1)</f>
        <v>356.42857142857144</v>
      </c>
      <c r="H9" s="19" t="s">
        <v>11</v>
      </c>
      <c r="J9" s="26">
        <f t="shared" si="3"/>
        <v>356.42899999999997</v>
      </c>
      <c r="K9" s="26" t="str">
        <f t="shared" si="0"/>
        <v/>
      </c>
      <c r="L9" s="26" t="str">
        <f t="shared" si="0"/>
        <v/>
      </c>
      <c r="M9" s="26" t="str">
        <f t="shared" si="0"/>
        <v/>
      </c>
      <c r="N9" s="26" t="str">
        <f t="shared" si="0"/>
        <v/>
      </c>
      <c r="O9" s="27" t="str">
        <f t="shared" si="2"/>
        <v>Ohms</v>
      </c>
      <c r="P9" s="19"/>
      <c r="Q9" s="19"/>
    </row>
    <row r="10" spans="2:21" ht="15" thickBot="1" x14ac:dyDescent="0.35">
      <c r="B10" s="29" t="s">
        <v>63</v>
      </c>
      <c r="C10" s="25">
        <f>(1/953+1/576)^-1</f>
        <v>359.01111837802489</v>
      </c>
      <c r="H10" s="19" t="s">
        <v>11</v>
      </c>
      <c r="J10" s="31">
        <f t="shared" si="3"/>
        <v>359.01100000000002</v>
      </c>
      <c r="K10" s="31" t="str">
        <f t="shared" si="0"/>
        <v/>
      </c>
      <c r="L10" s="31" t="str">
        <f t="shared" si="0"/>
        <v/>
      </c>
      <c r="M10" s="31" t="str">
        <f t="shared" si="0"/>
        <v/>
      </c>
      <c r="N10" s="31" t="str">
        <f t="shared" si="0"/>
        <v/>
      </c>
      <c r="O10" s="32" t="str">
        <f t="shared" si="2"/>
        <v>Ohms</v>
      </c>
      <c r="P10" s="42" t="s">
        <v>151</v>
      </c>
      <c r="Q10" s="44" t="s">
        <v>151</v>
      </c>
      <c r="R10" s="19" t="s">
        <v>99</v>
      </c>
      <c r="S10" s="38" t="s">
        <v>124</v>
      </c>
    </row>
    <row r="11" spans="2:21" ht="15.6" thickTop="1" thickBot="1" x14ac:dyDescent="0.35">
      <c r="B11" s="29" t="s">
        <v>64</v>
      </c>
      <c r="C11" s="34">
        <f>0.8*($C$8/$C$10+1)</f>
        <v>11.919432785356186</v>
      </c>
      <c r="H11" s="19" t="s">
        <v>0</v>
      </c>
      <c r="J11" s="26">
        <f t="shared" si="3"/>
        <v>11.919</v>
      </c>
      <c r="K11" s="26" t="str">
        <f t="shared" si="0"/>
        <v/>
      </c>
      <c r="L11" s="26" t="str">
        <f t="shared" si="0"/>
        <v/>
      </c>
      <c r="M11" s="26" t="str">
        <f t="shared" si="0"/>
        <v/>
      </c>
      <c r="N11" s="26" t="str">
        <f t="shared" si="0"/>
        <v/>
      </c>
      <c r="O11" s="27" t="str">
        <f t="shared" si="2"/>
        <v>V</v>
      </c>
      <c r="P11" s="19"/>
      <c r="Q11" s="19"/>
    </row>
    <row r="12" spans="2:21" ht="15" thickTop="1" x14ac:dyDescent="0.3">
      <c r="B12" s="41" t="s">
        <v>84</v>
      </c>
      <c r="J12" s="19" t="str">
        <f t="shared" si="3"/>
        <v/>
      </c>
      <c r="K12" s="19" t="str">
        <f t="shared" si="0"/>
        <v/>
      </c>
      <c r="L12" s="19" t="str">
        <f t="shared" si="0"/>
        <v/>
      </c>
      <c r="M12" s="19" t="str">
        <f t="shared" si="0"/>
        <v/>
      </c>
      <c r="N12" s="19" t="str">
        <f t="shared" si="0"/>
        <v/>
      </c>
      <c r="O12" s="19" t="str">
        <f t="shared" si="2"/>
        <v/>
      </c>
      <c r="P12" s="19"/>
      <c r="Q12" s="19"/>
    </row>
    <row r="13" spans="2:21" x14ac:dyDescent="0.3">
      <c r="B13" s="24" t="s">
        <v>2</v>
      </c>
      <c r="C13" s="30">
        <v>450000</v>
      </c>
      <c r="H13" s="19" t="s">
        <v>3</v>
      </c>
      <c r="J13" s="26">
        <f t="shared" si="3"/>
        <v>450</v>
      </c>
      <c r="K13" s="26" t="str">
        <f t="shared" si="0"/>
        <v/>
      </c>
      <c r="L13" s="26" t="str">
        <f t="shared" si="0"/>
        <v/>
      </c>
      <c r="M13" s="26" t="str">
        <f t="shared" si="0"/>
        <v/>
      </c>
      <c r="N13" s="26" t="str">
        <f t="shared" si="0"/>
        <v/>
      </c>
      <c r="O13" s="27" t="str">
        <f t="shared" si="2"/>
        <v>kHz</v>
      </c>
      <c r="P13" s="19"/>
      <c r="Q13" s="19"/>
      <c r="U13" s="19" t="s">
        <v>85</v>
      </c>
    </row>
    <row r="14" spans="2:21" x14ac:dyDescent="0.3">
      <c r="B14" s="24" t="s">
        <v>4</v>
      </c>
      <c r="C14" s="33">
        <f>5200000000/C13 - 948</f>
        <v>10607.555555555555</v>
      </c>
      <c r="H14" s="19" t="s">
        <v>11</v>
      </c>
      <c r="J14" s="26">
        <f t="shared" si="3"/>
        <v>10.608000000000001</v>
      </c>
      <c r="K14" s="26" t="str">
        <f t="shared" si="0"/>
        <v/>
      </c>
      <c r="L14" s="26" t="str">
        <f t="shared" si="0"/>
        <v/>
      </c>
      <c r="M14" s="26" t="str">
        <f t="shared" si="0"/>
        <v/>
      </c>
      <c r="N14" s="26" t="str">
        <f t="shared" si="0"/>
        <v/>
      </c>
      <c r="O14" s="27" t="str">
        <f t="shared" si="2"/>
        <v>kOhms</v>
      </c>
      <c r="P14" s="19"/>
      <c r="Q14" s="19"/>
    </row>
    <row r="15" spans="2:21" ht="15" thickBot="1" x14ac:dyDescent="0.35">
      <c r="B15" s="24" t="s">
        <v>6</v>
      </c>
      <c r="C15" s="30">
        <v>10500</v>
      </c>
      <c r="H15" s="19" t="s">
        <v>11</v>
      </c>
      <c r="J15" s="31">
        <f t="shared" si="3"/>
        <v>10.5</v>
      </c>
      <c r="K15" s="31" t="str">
        <f t="shared" si="0"/>
        <v/>
      </c>
      <c r="L15" s="31" t="str">
        <f t="shared" si="0"/>
        <v/>
      </c>
      <c r="M15" s="31" t="str">
        <f t="shared" si="0"/>
        <v/>
      </c>
      <c r="N15" s="31" t="str">
        <f t="shared" si="0"/>
        <v/>
      </c>
      <c r="O15" s="32" t="str">
        <f t="shared" si="2"/>
        <v>kOhms</v>
      </c>
      <c r="P15" s="19"/>
      <c r="Q15" s="19"/>
    </row>
    <row r="16" spans="2:21" ht="15.6" thickTop="1" thickBot="1" x14ac:dyDescent="0.35">
      <c r="B16" s="24" t="s">
        <v>7</v>
      </c>
      <c r="C16" s="34">
        <f>5200000000/(C15+948)</f>
        <v>454227.81271837873</v>
      </c>
      <c r="H16" s="19" t="s">
        <v>3</v>
      </c>
      <c r="J16" s="26">
        <f t="shared" si="3"/>
        <v>454.22800000000001</v>
      </c>
      <c r="K16" s="26" t="str">
        <f t="shared" si="0"/>
        <v/>
      </c>
      <c r="L16" s="26" t="str">
        <f t="shared" si="0"/>
        <v/>
      </c>
      <c r="M16" s="26" t="str">
        <f t="shared" si="0"/>
        <v/>
      </c>
      <c r="N16" s="26" t="str">
        <f t="shared" si="0"/>
        <v/>
      </c>
      <c r="O16" s="27" t="str">
        <f t="shared" si="2"/>
        <v>kHz</v>
      </c>
      <c r="P16" s="19"/>
      <c r="Q16" s="19"/>
    </row>
    <row r="17" spans="2:21" ht="15" thickTop="1" x14ac:dyDescent="0.3">
      <c r="B17" s="41" t="s">
        <v>84</v>
      </c>
      <c r="J17" s="19" t="str">
        <f t="shared" si="3"/>
        <v/>
      </c>
      <c r="K17" s="19" t="str">
        <f t="shared" si="0"/>
        <v/>
      </c>
      <c r="L17" s="19" t="str">
        <f t="shared" si="0"/>
        <v/>
      </c>
      <c r="M17" s="19" t="str">
        <f t="shared" si="0"/>
        <v/>
      </c>
      <c r="N17" s="19" t="str">
        <f t="shared" si="0"/>
        <v/>
      </c>
      <c r="O17" s="19" t="str">
        <f t="shared" si="2"/>
        <v/>
      </c>
      <c r="P17" s="19"/>
      <c r="Q17" s="19"/>
    </row>
    <row r="18" spans="2:21" x14ac:dyDescent="0.3">
      <c r="B18" s="24" t="s">
        <v>19</v>
      </c>
      <c r="C18" s="35">
        <v>0.4</v>
      </c>
      <c r="H18" s="19" t="s">
        <v>84</v>
      </c>
      <c r="J18" s="26">
        <f t="shared" si="3"/>
        <v>400</v>
      </c>
      <c r="K18" s="26" t="str">
        <f t="shared" ref="K18:K85" si="4">IF(ISBLANK(D18),"",IFERROR(ROUND(D18 / (
  1000 ^ INT(LOG(ABS(D18),1000)) ),3
),"-"))</f>
        <v/>
      </c>
      <c r="L18" s="26" t="str">
        <f t="shared" ref="L18:L85" si="5">IF(ISBLANK(E18),"",IFERROR(ROUND(E18 / (
  1000 ^ INT(LOG(ABS(E18),1000)) ),3
),"-"))</f>
        <v/>
      </c>
      <c r="M18" s="26" t="str">
        <f t="shared" ref="M18:M85" si="6">IF(ISBLANK(F18),"",IFERROR(ROUND(F18 / (
  1000 ^ INT(LOG(ABS(F18),1000)) ),3
),"-"))</f>
        <v/>
      </c>
      <c r="N18" s="26" t="str">
        <f t="shared" ref="N18:N85" si="7">IF(ISBLANK(G18),"",IFERROR(ROUND(G18 / (
  1000 ^ INT(LOG(ABS(G18),1000)) ),3
),"-"))</f>
        <v/>
      </c>
      <c r="O18" s="27" t="str">
        <f t="shared" si="2"/>
        <v>m-</v>
      </c>
      <c r="P18" s="19"/>
      <c r="Q18" s="19"/>
    </row>
    <row r="19" spans="2:21" x14ac:dyDescent="0.3">
      <c r="B19" s="24" t="s">
        <v>12</v>
      </c>
      <c r="C19" s="28">
        <f>$C$5*$C$18</f>
        <v>2</v>
      </c>
      <c r="H19" s="19" t="s">
        <v>1</v>
      </c>
      <c r="J19" s="26">
        <f t="shared" si="3"/>
        <v>2</v>
      </c>
      <c r="K19" s="26" t="str">
        <f t="shared" si="4"/>
        <v/>
      </c>
      <c r="L19" s="26" t="str">
        <f t="shared" si="5"/>
        <v/>
      </c>
      <c r="M19" s="26" t="str">
        <f t="shared" si="6"/>
        <v/>
      </c>
      <c r="N19" s="26" t="str">
        <f t="shared" si="7"/>
        <v/>
      </c>
      <c r="O19" s="27" t="str">
        <f t="shared" si="2"/>
        <v>A</v>
      </c>
      <c r="P19" s="19"/>
      <c r="Q19" s="19"/>
    </row>
    <row r="20" spans="2:21" x14ac:dyDescent="0.3">
      <c r="B20" s="24" t="s">
        <v>13</v>
      </c>
      <c r="C20" s="33">
        <f>($C$7/($C$5*$C$18*$C$16))*(1-$C$7/$C$3)</f>
        <v>1.0160946745562129E-5</v>
      </c>
      <c r="H20" s="19" t="s">
        <v>14</v>
      </c>
      <c r="J20" s="26">
        <f t="shared" si="3"/>
        <v>10.161</v>
      </c>
      <c r="K20" s="26" t="str">
        <f t="shared" si="4"/>
        <v/>
      </c>
      <c r="L20" s="26" t="str">
        <f t="shared" si="5"/>
        <v/>
      </c>
      <c r="M20" s="26" t="str">
        <f t="shared" si="6"/>
        <v/>
      </c>
      <c r="N20" s="26" t="str">
        <f t="shared" si="7"/>
        <v/>
      </c>
      <c r="O20" s="27" t="str">
        <f t="shared" si="2"/>
        <v>µH</v>
      </c>
      <c r="P20" s="19"/>
      <c r="Q20" s="19"/>
    </row>
    <row r="21" spans="2:21" x14ac:dyDescent="0.3">
      <c r="B21" s="24" t="s">
        <v>17</v>
      </c>
      <c r="C21" s="30">
        <v>1.5E-5</v>
      </c>
      <c r="H21" s="19" t="s">
        <v>14</v>
      </c>
      <c r="J21" s="31">
        <f t="shared" si="3"/>
        <v>15</v>
      </c>
      <c r="K21" s="31" t="str">
        <f t="shared" si="4"/>
        <v/>
      </c>
      <c r="L21" s="31" t="str">
        <f t="shared" si="5"/>
        <v/>
      </c>
      <c r="M21" s="31" t="str">
        <f t="shared" si="6"/>
        <v/>
      </c>
      <c r="N21" s="31" t="str">
        <f t="shared" si="7"/>
        <v/>
      </c>
      <c r="O21" s="32" t="str">
        <f t="shared" si="2"/>
        <v>µH</v>
      </c>
      <c r="P21" s="42" t="s">
        <v>151</v>
      </c>
      <c r="Q21" s="42" t="s">
        <v>151</v>
      </c>
      <c r="R21" s="19" t="s">
        <v>95</v>
      </c>
      <c r="S21" s="38" t="s">
        <v>118</v>
      </c>
    </row>
    <row r="22" spans="2:21" x14ac:dyDescent="0.3">
      <c r="B22" s="24" t="s">
        <v>93</v>
      </c>
      <c r="C22" s="30">
        <v>14</v>
      </c>
      <c r="H22" s="19" t="s">
        <v>1</v>
      </c>
      <c r="J22" s="31">
        <f t="shared" ref="J22" si="8">IF(ISBLANK(C22),"",IFERROR(ROUND(C22 / (
  1000 ^ INT(LOG(ABS(C22),1000)) ),3
),"-"))</f>
        <v>14</v>
      </c>
      <c r="K22" s="31" t="str">
        <f t="shared" ref="K22" si="9">IF(ISBLANK(D22),"",IFERROR(ROUND(D22 / (
  1000 ^ INT(LOG(ABS(D22),1000)) ),3
),"-"))</f>
        <v/>
      </c>
      <c r="L22" s="31" t="str">
        <f t="shared" ref="L22" si="10">IF(ISBLANK(E22),"",IFERROR(ROUND(E22 / (
  1000 ^ INT(LOG(ABS(E22),1000)) ),3
),"-"))</f>
        <v/>
      </c>
      <c r="M22" s="31" t="str">
        <f t="shared" ref="M22" si="11">IF(ISBLANK(F22),"",IFERROR(ROUND(F22 / (
  1000 ^ INT(LOG(ABS(F22),1000)) ),3
),"-"))</f>
        <v/>
      </c>
      <c r="N22" s="31" t="str">
        <f t="shared" ref="N22" si="12">IF(ISBLANK(G22),"",IFERROR(ROUND(G22 / (
  1000 ^ INT(LOG(ABS(G22),1000)) ),3
),"-"))</f>
        <v/>
      </c>
      <c r="O22" s="32" t="str">
        <f t="shared" ref="O22" si="13">IF(ISBLANK($H22),"",IFERROR(CHOOSE(
  INT(LOG(ABS(C22),1000)) + 6,"f","p","n","µ","m","","k","M","G","T","P"
) &amp; $H22,"-"))</f>
        <v>A</v>
      </c>
      <c r="P22" s="19"/>
      <c r="Q22" s="19"/>
    </row>
    <row r="23" spans="2:21" ht="15" thickBot="1" x14ac:dyDescent="0.35">
      <c r="B23" s="24" t="s">
        <v>94</v>
      </c>
      <c r="C23" s="30">
        <v>1.0200000000000001E-2</v>
      </c>
      <c r="H23" s="19" t="s">
        <v>11</v>
      </c>
      <c r="J23" s="31">
        <f t="shared" ref="J23" si="14">IF(ISBLANK(C23),"",IFERROR(ROUND(C23 / (
  1000 ^ INT(LOG(ABS(C23),1000)) ),3
),"-"))</f>
        <v>10.199999999999999</v>
      </c>
      <c r="K23" s="31" t="str">
        <f t="shared" ref="K23" si="15">IF(ISBLANK(D23),"",IFERROR(ROUND(D23 / (
  1000 ^ INT(LOG(ABS(D23),1000)) ),3
),"-"))</f>
        <v/>
      </c>
      <c r="L23" s="31" t="str">
        <f t="shared" ref="L23" si="16">IF(ISBLANK(E23),"",IFERROR(ROUND(E23 / (
  1000 ^ INT(LOG(ABS(E23),1000)) ),3
),"-"))</f>
        <v/>
      </c>
      <c r="M23" s="31" t="str">
        <f t="shared" ref="M23" si="17">IF(ISBLANK(F23),"",IFERROR(ROUND(F23 / (
  1000 ^ INT(LOG(ABS(F23),1000)) ),3
),"-"))</f>
        <v/>
      </c>
      <c r="N23" s="31" t="str">
        <f t="shared" ref="N23" si="18">IF(ISBLANK(G23),"",IFERROR(ROUND(G23 / (
  1000 ^ INT(LOG(ABS(G23),1000)) ),3
),"-"))</f>
        <v/>
      </c>
      <c r="O23" s="32" t="str">
        <f t="shared" ref="O23" si="19">IF(ISBLANK($H23),"",IFERROR(CHOOSE(
  INT(LOG(ABS(C23),1000)) + 6,"f","p","n","µ","m","","k","M","G","T","P"
) &amp; $H23,"-"))</f>
        <v>mOhms</v>
      </c>
      <c r="P23" s="19"/>
      <c r="Q23" s="19"/>
    </row>
    <row r="24" spans="2:21" ht="15.6" thickTop="1" thickBot="1" x14ac:dyDescent="0.35">
      <c r="B24" s="24" t="s">
        <v>18</v>
      </c>
      <c r="C24" s="34">
        <f>($C$7/($C$21*$C$13))*(1-$C$7/$C$3)</f>
        <v>1.3675213675213673</v>
      </c>
      <c r="D24" s="34">
        <f>($C$7/($C$21*$C$13))*(1-$C$7/D3)</f>
        <v>0.71111111111111114</v>
      </c>
      <c r="E24" s="34">
        <f>($C$7/($C$21*$C$13))*(1-$C$7/E3)</f>
        <v>0.88888888888888884</v>
      </c>
      <c r="F24" s="34">
        <f>($C$7/($C$21*$C$13))*(1-$C$7/F3)</f>
        <v>1.1851851851851853</v>
      </c>
      <c r="G24" s="34">
        <f>($C$7/($C$21*$C$13))*(1-$C$7/G3)</f>
        <v>1.3675213675213673</v>
      </c>
      <c r="H24" s="19" t="s">
        <v>1</v>
      </c>
      <c r="J24" s="26">
        <f t="shared" si="3"/>
        <v>1.3680000000000001</v>
      </c>
      <c r="K24" s="26">
        <f t="shared" si="4"/>
        <v>711.11099999999999</v>
      </c>
      <c r="L24" s="26">
        <f t="shared" si="5"/>
        <v>888.88900000000001</v>
      </c>
      <c r="M24" s="26">
        <f t="shared" si="6"/>
        <v>1.1850000000000001</v>
      </c>
      <c r="N24" s="26">
        <f t="shared" si="7"/>
        <v>1.3680000000000001</v>
      </c>
      <c r="O24" s="27" t="str">
        <f t="shared" si="2"/>
        <v>A</v>
      </c>
      <c r="P24" s="19"/>
      <c r="Q24" s="19"/>
    </row>
    <row r="25" spans="2:21" ht="15.6" thickTop="1" thickBot="1" x14ac:dyDescent="0.35">
      <c r="B25" s="24" t="s">
        <v>86</v>
      </c>
      <c r="C25" s="34">
        <f>$C$5+C24/2</f>
        <v>5.683760683760684</v>
      </c>
      <c r="D25" s="34">
        <f t="shared" ref="D25:G25" si="20">$C$5+D24/2</f>
        <v>5.3555555555555552</v>
      </c>
      <c r="E25" s="34">
        <f t="shared" si="20"/>
        <v>5.4444444444444446</v>
      </c>
      <c r="F25" s="34">
        <f t="shared" si="20"/>
        <v>5.5925925925925926</v>
      </c>
      <c r="G25" s="34">
        <f t="shared" si="20"/>
        <v>5.683760683760684</v>
      </c>
      <c r="H25" s="19" t="s">
        <v>1</v>
      </c>
      <c r="J25" s="26">
        <f t="shared" ref="J25" si="21">IF(ISBLANK(C25),"",IFERROR(ROUND(C25 / (
  1000 ^ INT(LOG(ABS(C25),1000)) ),3
),"-"))</f>
        <v>5.6840000000000002</v>
      </c>
      <c r="K25" s="26">
        <f t="shared" ref="K25" si="22">IF(ISBLANK(D25),"",IFERROR(ROUND(D25 / (
  1000 ^ INT(LOG(ABS(D25),1000)) ),3
),"-"))</f>
        <v>5.3559999999999999</v>
      </c>
      <c r="L25" s="26">
        <f t="shared" ref="L25" si="23">IF(ISBLANK(E25),"",IFERROR(ROUND(E25 / (
  1000 ^ INT(LOG(ABS(E25),1000)) ),3
),"-"))</f>
        <v>5.444</v>
      </c>
      <c r="M25" s="26">
        <f t="shared" ref="M25" si="24">IF(ISBLANK(F25),"",IFERROR(ROUND(F25 / (
  1000 ^ INT(LOG(ABS(F25),1000)) ),3
),"-"))</f>
        <v>5.593</v>
      </c>
      <c r="N25" s="26">
        <f t="shared" ref="N25" si="25">IF(ISBLANK(G25),"",IFERROR(ROUND(G25 / (
  1000 ^ INT(LOG(ABS(G25),1000)) ),3
),"-"))</f>
        <v>5.6840000000000002</v>
      </c>
      <c r="O25" s="27" t="str">
        <f t="shared" ref="O25" si="26">IF(ISBLANK($H25),"",IFERROR(CHOOSE(
  INT(LOG(ABS(C25),1000)) + 6,"f","p","n","µ","m","","k","M","G","T","P"
) &amp; $H25,"-"))</f>
        <v>A</v>
      </c>
      <c r="P25" s="19"/>
      <c r="Q25" s="19"/>
    </row>
    <row r="26" spans="2:21" ht="15" thickTop="1" x14ac:dyDescent="0.3">
      <c r="B26" s="41" t="s">
        <v>84</v>
      </c>
      <c r="J26" s="19" t="str">
        <f t="shared" si="3"/>
        <v/>
      </c>
      <c r="K26" s="19" t="str">
        <f t="shared" si="4"/>
        <v/>
      </c>
      <c r="L26" s="19" t="str">
        <f t="shared" si="5"/>
        <v/>
      </c>
      <c r="M26" s="19" t="str">
        <f t="shared" si="6"/>
        <v/>
      </c>
      <c r="N26" s="19" t="str">
        <f t="shared" si="7"/>
        <v/>
      </c>
      <c r="O26" s="19" t="str">
        <f t="shared" si="2"/>
        <v/>
      </c>
      <c r="P26" s="19"/>
      <c r="Q26" s="19"/>
    </row>
    <row r="27" spans="2:21" x14ac:dyDescent="0.3">
      <c r="B27" s="29" t="s">
        <v>26</v>
      </c>
      <c r="C27" s="35">
        <v>1.3</v>
      </c>
      <c r="J27" s="26">
        <f t="shared" si="3"/>
        <v>1.3</v>
      </c>
      <c r="K27" s="26" t="str">
        <f t="shared" si="4"/>
        <v/>
      </c>
      <c r="L27" s="26" t="str">
        <f t="shared" si="5"/>
        <v/>
      </c>
      <c r="M27" s="26" t="str">
        <f t="shared" si="6"/>
        <v/>
      </c>
      <c r="N27" s="26" t="str">
        <f t="shared" si="7"/>
        <v/>
      </c>
      <c r="O27" s="27" t="str">
        <f t="shared" si="2"/>
        <v/>
      </c>
      <c r="P27" s="19"/>
      <c r="Q27" s="19"/>
    </row>
    <row r="28" spans="2:21" x14ac:dyDescent="0.3">
      <c r="B28" s="29" t="s">
        <v>29</v>
      </c>
      <c r="C28" s="33">
        <f>$C$5*$C$27</f>
        <v>6.5</v>
      </c>
      <c r="H28" s="19" t="s">
        <v>1</v>
      </c>
      <c r="J28" s="26">
        <f t="shared" si="3"/>
        <v>6.5</v>
      </c>
      <c r="K28" s="26" t="str">
        <f t="shared" si="4"/>
        <v/>
      </c>
      <c r="L28" s="26" t="str">
        <f t="shared" si="5"/>
        <v/>
      </c>
      <c r="M28" s="26" t="str">
        <f t="shared" si="6"/>
        <v/>
      </c>
      <c r="N28" s="26" t="str">
        <f t="shared" si="7"/>
        <v/>
      </c>
      <c r="O28" s="27" t="str">
        <f t="shared" si="2"/>
        <v>A</v>
      </c>
      <c r="P28" s="19"/>
      <c r="Q28" s="19"/>
    </row>
    <row r="29" spans="2:21" x14ac:dyDescent="0.3">
      <c r="B29" s="29" t="s">
        <v>27</v>
      </c>
      <c r="C29" s="33">
        <f>0.12/(($C$5*$C$27)+(($C$7*1)/($C$13*$C$21))-($D$24/2))</f>
        <v>1.5147265077138847E-2</v>
      </c>
      <c r="H29" s="19" t="s">
        <v>11</v>
      </c>
      <c r="J29" s="26">
        <f t="shared" si="3"/>
        <v>15.147</v>
      </c>
      <c r="K29" s="26" t="str">
        <f t="shared" si="4"/>
        <v/>
      </c>
      <c r="L29" s="26" t="str">
        <f t="shared" si="5"/>
        <v/>
      </c>
      <c r="M29" s="26" t="str">
        <f t="shared" si="6"/>
        <v/>
      </c>
      <c r="N29" s="26" t="str">
        <f t="shared" si="7"/>
        <v/>
      </c>
      <c r="O29" s="27" t="str">
        <f t="shared" si="2"/>
        <v>mOhms</v>
      </c>
      <c r="P29" s="19"/>
      <c r="Q29" s="19"/>
      <c r="U29" s="19" t="s">
        <v>28</v>
      </c>
    </row>
    <row r="30" spans="2:21" x14ac:dyDescent="0.3">
      <c r="B30" s="29" t="s">
        <v>30</v>
      </c>
      <c r="C30" s="30">
        <v>1.4999999999999999E-2</v>
      </c>
      <c r="H30" s="19" t="s">
        <v>11</v>
      </c>
      <c r="J30" s="31">
        <f t="shared" si="3"/>
        <v>15</v>
      </c>
      <c r="K30" s="31" t="str">
        <f t="shared" si="4"/>
        <v/>
      </c>
      <c r="L30" s="31" t="str">
        <f t="shared" si="5"/>
        <v/>
      </c>
      <c r="M30" s="31" t="str">
        <f t="shared" si="6"/>
        <v/>
      </c>
      <c r="N30" s="31" t="str">
        <f t="shared" si="7"/>
        <v/>
      </c>
      <c r="O30" s="32" t="str">
        <f t="shared" si="2"/>
        <v>mOhms</v>
      </c>
      <c r="P30" s="42" t="s">
        <v>151</v>
      </c>
      <c r="Q30" s="44" t="s">
        <v>151</v>
      </c>
      <c r="R30" s="19" t="s">
        <v>89</v>
      </c>
      <c r="S30" s="38" t="s">
        <v>119</v>
      </c>
    </row>
    <row r="31" spans="2:21" ht="15" thickBot="1" x14ac:dyDescent="0.35">
      <c r="B31" s="29" t="s">
        <v>91</v>
      </c>
      <c r="C31" s="30">
        <v>1</v>
      </c>
      <c r="H31" s="19" t="s">
        <v>35</v>
      </c>
      <c r="J31" s="31">
        <f t="shared" ref="J31" si="27">IF(ISBLANK(C31),"",IFERROR(ROUND(C31 / (
  1000 ^ INT(LOG(ABS(C31),1000)) ),3
),"-"))</f>
        <v>1</v>
      </c>
      <c r="K31" s="31" t="str">
        <f t="shared" ref="K31" si="28">IF(ISBLANK(D31),"",IFERROR(ROUND(D31 / (
  1000 ^ INT(LOG(ABS(D31),1000)) ),3
),"-"))</f>
        <v/>
      </c>
      <c r="L31" s="31" t="str">
        <f t="shared" ref="L31" si="29">IF(ISBLANK(E31),"",IFERROR(ROUND(E31 / (
  1000 ^ INT(LOG(ABS(E31),1000)) ),3
),"-"))</f>
        <v/>
      </c>
      <c r="M31" s="31" t="str">
        <f t="shared" ref="M31" si="30">IF(ISBLANK(F31),"",IFERROR(ROUND(F31 / (
  1000 ^ INT(LOG(ABS(F31),1000)) ),3
),"-"))</f>
        <v/>
      </c>
      <c r="N31" s="31" t="str">
        <f t="shared" ref="N31" si="31">IF(ISBLANK(G31),"",IFERROR(ROUND(G31 / (
  1000 ^ INT(LOG(ABS(G31),1000)) ),3
),"-"))</f>
        <v/>
      </c>
      <c r="O31" s="32" t="str">
        <f t="shared" ref="O31" si="32">IF(ISBLANK($H31),"",IFERROR(CHOOSE(
  INT(LOG(ABS(C31),1000)) + 6,"f","p","n","µ","m","","k","M","G","T","P"
) &amp; $H31,"-"))</f>
        <v>W</v>
      </c>
      <c r="P31" s="19"/>
      <c r="Q31" s="19"/>
      <c r="S31" s="38"/>
    </row>
    <row r="32" spans="2:21" ht="15.6" thickTop="1" thickBot="1" x14ac:dyDescent="0.35">
      <c r="B32" s="29" t="s">
        <v>92</v>
      </c>
      <c r="C32" s="34">
        <f>0.12/C30+$C$3*0.0000001/$C$21</f>
        <v>8.3466666666666658</v>
      </c>
      <c r="H32" s="19" t="s">
        <v>1</v>
      </c>
      <c r="J32" s="26">
        <f t="shared" si="3"/>
        <v>8.3469999999999995</v>
      </c>
      <c r="K32" s="26" t="str">
        <f t="shared" si="4"/>
        <v/>
      </c>
      <c r="L32" s="26" t="str">
        <f t="shared" si="5"/>
        <v/>
      </c>
      <c r="M32" s="26" t="str">
        <f t="shared" si="6"/>
        <v/>
      </c>
      <c r="N32" s="26" t="str">
        <f t="shared" si="7"/>
        <v/>
      </c>
      <c r="O32" s="27" t="str">
        <f t="shared" si="2"/>
        <v>A</v>
      </c>
      <c r="P32" s="19"/>
      <c r="Q32" s="19"/>
      <c r="U32" s="19" t="s">
        <v>32</v>
      </c>
    </row>
    <row r="33" spans="2:21" ht="15" thickTop="1" x14ac:dyDescent="0.3">
      <c r="B33" s="29" t="s">
        <v>34</v>
      </c>
      <c r="C33" s="33">
        <f>(1-$C$7/$C$3)*$C$5^2*$C$30</f>
        <v>0.28846153846153844</v>
      </c>
      <c r="H33" s="19" t="s">
        <v>35</v>
      </c>
      <c r="J33" s="31">
        <f t="shared" si="3"/>
        <v>288.46199999999999</v>
      </c>
      <c r="K33" s="31" t="str">
        <f t="shared" si="4"/>
        <v/>
      </c>
      <c r="L33" s="31" t="str">
        <f t="shared" si="5"/>
        <v/>
      </c>
      <c r="M33" s="31" t="str">
        <f t="shared" si="6"/>
        <v/>
      </c>
      <c r="N33" s="31" t="str">
        <f t="shared" si="7"/>
        <v/>
      </c>
      <c r="O33" s="32" t="str">
        <f t="shared" si="2"/>
        <v>mW</v>
      </c>
      <c r="P33" s="19"/>
      <c r="Q33" s="19"/>
    </row>
    <row r="34" spans="2:21" x14ac:dyDescent="0.3">
      <c r="B34" s="41" t="s">
        <v>84</v>
      </c>
      <c r="J34" s="19" t="str">
        <f t="shared" si="3"/>
        <v/>
      </c>
      <c r="K34" s="19" t="str">
        <f t="shared" si="4"/>
        <v/>
      </c>
      <c r="L34" s="19" t="str">
        <f t="shared" si="5"/>
        <v/>
      </c>
      <c r="M34" s="19" t="str">
        <f t="shared" si="6"/>
        <v/>
      </c>
      <c r="N34" s="19" t="str">
        <f t="shared" si="7"/>
        <v/>
      </c>
      <c r="O34" s="19" t="str">
        <f t="shared" si="2"/>
        <v/>
      </c>
      <c r="P34" s="19"/>
      <c r="Q34" s="19"/>
    </row>
    <row r="35" spans="2:21" x14ac:dyDescent="0.3">
      <c r="B35" s="29" t="s">
        <v>36</v>
      </c>
      <c r="C35" s="30">
        <v>8.1999999999999996E-10</v>
      </c>
      <c r="H35" s="19" t="s">
        <v>37</v>
      </c>
      <c r="J35" s="31">
        <f t="shared" si="3"/>
        <v>820</v>
      </c>
      <c r="K35" s="31" t="str">
        <f t="shared" si="4"/>
        <v/>
      </c>
      <c r="L35" s="31" t="str">
        <f t="shared" si="5"/>
        <v/>
      </c>
      <c r="M35" s="31" t="str">
        <f t="shared" si="6"/>
        <v/>
      </c>
      <c r="N35" s="31" t="str">
        <f t="shared" si="7"/>
        <v/>
      </c>
      <c r="O35" s="32" t="str">
        <f t="shared" si="2"/>
        <v>pF</v>
      </c>
      <c r="P35" s="42" t="s">
        <v>151</v>
      </c>
      <c r="Q35" s="44" t="s">
        <v>151</v>
      </c>
      <c r="R35" s="19" t="s">
        <v>97</v>
      </c>
      <c r="S35" s="38" t="s">
        <v>98</v>
      </c>
      <c r="U35" s="19" t="s">
        <v>39</v>
      </c>
    </row>
    <row r="36" spans="2:21" x14ac:dyDescent="0.3">
      <c r="B36" s="29" t="s">
        <v>38</v>
      </c>
      <c r="C36" s="33">
        <f>$C$21/(1*$C$35*$C$30*10)</f>
        <v>121951.21951219514</v>
      </c>
      <c r="H36" s="36" t="s">
        <v>11</v>
      </c>
      <c r="J36" s="26">
        <f t="shared" si="3"/>
        <v>121.95099999999999</v>
      </c>
      <c r="K36" s="26" t="str">
        <f t="shared" si="4"/>
        <v/>
      </c>
      <c r="L36" s="26" t="str">
        <f t="shared" si="5"/>
        <v/>
      </c>
      <c r="M36" s="26" t="str">
        <f t="shared" si="6"/>
        <v/>
      </c>
      <c r="N36" s="26" t="str">
        <f t="shared" si="7"/>
        <v/>
      </c>
      <c r="O36" s="27" t="str">
        <f t="shared" si="2"/>
        <v>kOhms</v>
      </c>
      <c r="P36" s="19"/>
      <c r="Q36" s="19"/>
      <c r="U36" s="19" t="s">
        <v>40</v>
      </c>
    </row>
    <row r="37" spans="2:21" x14ac:dyDescent="0.3">
      <c r="B37" s="29" t="s">
        <v>125</v>
      </c>
      <c r="C37" s="30">
        <v>121000</v>
      </c>
      <c r="H37" s="36" t="s">
        <v>11</v>
      </c>
      <c r="J37" s="31">
        <f t="shared" si="3"/>
        <v>121</v>
      </c>
      <c r="K37" s="31" t="str">
        <f t="shared" si="4"/>
        <v/>
      </c>
      <c r="L37" s="31" t="str">
        <f t="shared" si="5"/>
        <v/>
      </c>
      <c r="M37" s="31" t="str">
        <f t="shared" si="6"/>
        <v/>
      </c>
      <c r="N37" s="31" t="str">
        <f t="shared" si="7"/>
        <v/>
      </c>
      <c r="O37" s="32" t="str">
        <f t="shared" si="2"/>
        <v>kOhms</v>
      </c>
      <c r="P37" s="42" t="s">
        <v>151</v>
      </c>
      <c r="Q37" s="44" t="s">
        <v>151</v>
      </c>
      <c r="R37" s="19" t="s">
        <v>99</v>
      </c>
      <c r="S37" s="38" t="s">
        <v>120</v>
      </c>
    </row>
    <row r="38" spans="2:21" x14ac:dyDescent="0.3">
      <c r="B38" s="41" t="s">
        <v>84</v>
      </c>
      <c r="J38" s="19" t="str">
        <f t="shared" si="3"/>
        <v/>
      </c>
      <c r="K38" s="19" t="str">
        <f t="shared" si="4"/>
        <v/>
      </c>
      <c r="L38" s="19" t="str">
        <f t="shared" si="5"/>
        <v/>
      </c>
      <c r="M38" s="19" t="str">
        <f t="shared" si="6"/>
        <v/>
      </c>
      <c r="N38" s="19" t="str">
        <f t="shared" si="7"/>
        <v/>
      </c>
      <c r="O38" s="19" t="str">
        <f t="shared" si="2"/>
        <v/>
      </c>
      <c r="P38" s="19"/>
      <c r="Q38" s="19"/>
    </row>
    <row r="39" spans="2:21" x14ac:dyDescent="0.3">
      <c r="B39" s="29" t="s">
        <v>42</v>
      </c>
      <c r="C39" s="25">
        <v>2</v>
      </c>
      <c r="H39" s="19" t="s">
        <v>0</v>
      </c>
      <c r="J39" s="19">
        <f t="shared" si="3"/>
        <v>2</v>
      </c>
      <c r="K39" s="19" t="str">
        <f t="shared" si="4"/>
        <v/>
      </c>
      <c r="L39" s="19" t="str">
        <f t="shared" si="5"/>
        <v/>
      </c>
      <c r="M39" s="19" t="str">
        <f t="shared" si="6"/>
        <v/>
      </c>
      <c r="N39" s="19" t="str">
        <f t="shared" si="7"/>
        <v/>
      </c>
      <c r="O39" s="19" t="str">
        <f t="shared" si="2"/>
        <v>V</v>
      </c>
      <c r="P39" s="19"/>
      <c r="Q39" s="19"/>
    </row>
    <row r="40" spans="2:21" x14ac:dyDescent="0.3">
      <c r="B40" s="29" t="s">
        <v>49</v>
      </c>
      <c r="C40" s="25">
        <v>18</v>
      </c>
      <c r="H40" s="19" t="s">
        <v>0</v>
      </c>
      <c r="J40" s="19">
        <f t="shared" si="3"/>
        <v>18</v>
      </c>
      <c r="K40" s="19" t="str">
        <f t="shared" si="4"/>
        <v/>
      </c>
      <c r="L40" s="19" t="str">
        <f t="shared" si="5"/>
        <v/>
      </c>
      <c r="M40" s="19" t="str">
        <f t="shared" si="6"/>
        <v/>
      </c>
      <c r="N40" s="19" t="str">
        <f t="shared" si="7"/>
        <v/>
      </c>
      <c r="O40" s="19" t="str">
        <f t="shared" si="2"/>
        <v>V</v>
      </c>
      <c r="P40" s="19"/>
      <c r="Q40" s="19"/>
    </row>
    <row r="41" spans="2:21" x14ac:dyDescent="0.3">
      <c r="B41" s="29" t="s">
        <v>43</v>
      </c>
      <c r="C41" s="28">
        <f>C39/0.00002</f>
        <v>99999.999999999985</v>
      </c>
      <c r="H41" s="19" t="s">
        <v>11</v>
      </c>
      <c r="J41" s="26">
        <f t="shared" si="3"/>
        <v>100</v>
      </c>
      <c r="K41" s="26" t="str">
        <f t="shared" si="4"/>
        <v/>
      </c>
      <c r="L41" s="26" t="str">
        <f t="shared" si="5"/>
        <v/>
      </c>
      <c r="M41" s="26" t="str">
        <f t="shared" si="6"/>
        <v/>
      </c>
      <c r="N41" s="26" t="str">
        <f t="shared" si="7"/>
        <v/>
      </c>
      <c r="O41" s="27" t="str">
        <f t="shared" si="2"/>
        <v>kOhms</v>
      </c>
      <c r="P41" s="19"/>
      <c r="Q41" s="19"/>
      <c r="U41" s="19" t="s">
        <v>44</v>
      </c>
    </row>
    <row r="42" spans="2:21" x14ac:dyDescent="0.3">
      <c r="B42" s="29" t="s">
        <v>45</v>
      </c>
      <c r="C42" s="30">
        <v>100000</v>
      </c>
      <c r="H42" s="19" t="s">
        <v>11</v>
      </c>
      <c r="J42" s="31">
        <f t="shared" si="3"/>
        <v>100</v>
      </c>
      <c r="K42" s="31" t="str">
        <f t="shared" si="4"/>
        <v/>
      </c>
      <c r="L42" s="31" t="str">
        <f t="shared" si="5"/>
        <v/>
      </c>
      <c r="M42" s="31" t="str">
        <f t="shared" si="6"/>
        <v/>
      </c>
      <c r="N42" s="31" t="str">
        <f t="shared" si="7"/>
        <v/>
      </c>
      <c r="O42" s="32" t="str">
        <f t="shared" si="2"/>
        <v>kOhms</v>
      </c>
      <c r="P42" s="42" t="s">
        <v>151</v>
      </c>
      <c r="Q42" s="44" t="s">
        <v>151</v>
      </c>
      <c r="R42" s="19" t="s">
        <v>99</v>
      </c>
      <c r="S42" s="38" t="s">
        <v>101</v>
      </c>
    </row>
    <row r="43" spans="2:21" x14ac:dyDescent="0.3">
      <c r="B43" s="29" t="s">
        <v>46</v>
      </c>
      <c r="C43" s="33">
        <f>1.25*$C$42/($C$40-1.25)</f>
        <v>7462.686567164179</v>
      </c>
      <c r="H43" s="19" t="s">
        <v>11</v>
      </c>
      <c r="J43" s="26">
        <f t="shared" si="3"/>
        <v>7.4630000000000001</v>
      </c>
      <c r="K43" s="26" t="str">
        <f t="shared" si="4"/>
        <v/>
      </c>
      <c r="L43" s="26" t="str">
        <f t="shared" si="5"/>
        <v/>
      </c>
      <c r="M43" s="26" t="str">
        <f t="shared" si="6"/>
        <v/>
      </c>
      <c r="N43" s="26" t="str">
        <f t="shared" si="7"/>
        <v/>
      </c>
      <c r="O43" s="27" t="str">
        <f t="shared" si="2"/>
        <v>kOhms</v>
      </c>
      <c r="P43" s="19"/>
      <c r="Q43" s="19"/>
      <c r="U43" s="19" t="s">
        <v>47</v>
      </c>
    </row>
    <row r="44" spans="2:21" ht="15" thickBot="1" x14ac:dyDescent="0.35">
      <c r="B44" s="29" t="s">
        <v>48</v>
      </c>
      <c r="C44" s="30">
        <v>7500</v>
      </c>
      <c r="H44" s="19" t="s">
        <v>11</v>
      </c>
      <c r="J44" s="31">
        <f t="shared" si="3"/>
        <v>7.5</v>
      </c>
      <c r="K44" s="31" t="str">
        <f t="shared" si="4"/>
        <v/>
      </c>
      <c r="L44" s="31" t="str">
        <f t="shared" si="5"/>
        <v/>
      </c>
      <c r="M44" s="31" t="str">
        <f t="shared" si="6"/>
        <v/>
      </c>
      <c r="N44" s="31" t="str">
        <f t="shared" si="7"/>
        <v/>
      </c>
      <c r="O44" s="32" t="str">
        <f t="shared" si="2"/>
        <v>kOhms</v>
      </c>
      <c r="P44" s="42" t="s">
        <v>151</v>
      </c>
      <c r="Q44" s="44" t="s">
        <v>151</v>
      </c>
      <c r="R44" s="19" t="s">
        <v>99</v>
      </c>
      <c r="S44" s="38" t="s">
        <v>102</v>
      </c>
    </row>
    <row r="45" spans="2:21" ht="15.6" thickTop="1" thickBot="1" x14ac:dyDescent="0.35">
      <c r="B45" s="29" t="s">
        <v>50</v>
      </c>
      <c r="C45" s="34">
        <f>1.25*($C$42+$C$44)/$C$44</f>
        <v>17.916666666666668</v>
      </c>
      <c r="H45" s="19" t="s">
        <v>0</v>
      </c>
      <c r="J45" s="26">
        <f t="shared" si="3"/>
        <v>17.917000000000002</v>
      </c>
      <c r="K45" s="26" t="str">
        <f t="shared" si="4"/>
        <v/>
      </c>
      <c r="L45" s="26" t="str">
        <f t="shared" si="5"/>
        <v/>
      </c>
      <c r="M45" s="26" t="str">
        <f t="shared" si="6"/>
        <v/>
      </c>
      <c r="N45" s="26" t="str">
        <f t="shared" si="7"/>
        <v/>
      </c>
      <c r="O45" s="27" t="str">
        <f t="shared" si="2"/>
        <v>V</v>
      </c>
      <c r="P45" s="19"/>
      <c r="Q45" s="19"/>
    </row>
    <row r="46" spans="2:21" ht="15" thickTop="1" x14ac:dyDescent="0.3">
      <c r="B46" s="41" t="s">
        <v>84</v>
      </c>
      <c r="J46" s="19" t="str">
        <f t="shared" si="3"/>
        <v/>
      </c>
      <c r="K46" s="19" t="str">
        <f t="shared" si="4"/>
        <v/>
      </c>
      <c r="L46" s="19" t="str">
        <f t="shared" si="5"/>
        <v/>
      </c>
      <c r="M46" s="19" t="str">
        <f t="shared" si="6"/>
        <v/>
      </c>
      <c r="N46" s="19" t="str">
        <f t="shared" si="7"/>
        <v/>
      </c>
      <c r="O46" s="19" t="str">
        <f t="shared" si="2"/>
        <v/>
      </c>
      <c r="P46" s="19"/>
      <c r="Q46" s="19"/>
    </row>
    <row r="47" spans="2:21" x14ac:dyDescent="0.3">
      <c r="B47" s="29" t="s">
        <v>56</v>
      </c>
      <c r="C47" s="25">
        <v>0.25</v>
      </c>
      <c r="H47" s="19" t="s">
        <v>0</v>
      </c>
      <c r="J47" s="26">
        <f t="shared" si="3"/>
        <v>250</v>
      </c>
      <c r="K47" s="26" t="str">
        <f t="shared" si="4"/>
        <v/>
      </c>
      <c r="L47" s="26" t="str">
        <f t="shared" si="5"/>
        <v/>
      </c>
      <c r="M47" s="26" t="str">
        <f t="shared" si="6"/>
        <v/>
      </c>
      <c r="N47" s="26" t="str">
        <f t="shared" si="7"/>
        <v/>
      </c>
      <c r="O47" s="27" t="str">
        <f t="shared" si="2"/>
        <v>mV</v>
      </c>
      <c r="P47" s="19"/>
      <c r="Q47" s="19"/>
    </row>
    <row r="48" spans="2:21" x14ac:dyDescent="0.3">
      <c r="B48" s="29" t="s">
        <v>57</v>
      </c>
      <c r="C48" s="33">
        <f>$C$5/(4*$C$13*$C$47)</f>
        <v>1.1111111111111112E-5</v>
      </c>
      <c r="H48" s="19" t="s">
        <v>37</v>
      </c>
      <c r="J48" s="26">
        <f t="shared" si="3"/>
        <v>11.111000000000001</v>
      </c>
      <c r="K48" s="26" t="str">
        <f t="shared" si="4"/>
        <v/>
      </c>
      <c r="L48" s="26" t="str">
        <f t="shared" si="5"/>
        <v/>
      </c>
      <c r="M48" s="26" t="str">
        <f t="shared" si="6"/>
        <v/>
      </c>
      <c r="N48" s="26" t="str">
        <f t="shared" si="7"/>
        <v/>
      </c>
      <c r="O48" s="27" t="str">
        <f t="shared" si="2"/>
        <v>µF</v>
      </c>
      <c r="P48" s="19"/>
      <c r="Q48" s="19"/>
    </row>
    <row r="49" spans="2:21" x14ac:dyDescent="0.3">
      <c r="B49" s="29" t="s">
        <v>103</v>
      </c>
      <c r="C49" s="30">
        <v>1.5E-5</v>
      </c>
      <c r="D49" s="33">
        <f>$C$49</f>
        <v>1.5E-5</v>
      </c>
      <c r="E49" s="33">
        <f t="shared" ref="E49:G49" si="33">$C$49</f>
        <v>1.5E-5</v>
      </c>
      <c r="F49" s="33">
        <f t="shared" si="33"/>
        <v>1.5E-5</v>
      </c>
      <c r="G49" s="33">
        <f t="shared" si="33"/>
        <v>1.5E-5</v>
      </c>
      <c r="H49" s="19" t="s">
        <v>37</v>
      </c>
      <c r="J49" s="31">
        <f t="shared" ref="J49:J53" si="34">IF(ISBLANK(C49),"",IFERROR(ROUND(C49 / (
  1000 ^ INT(LOG(ABS(C49),1000)) ),3
),"-"))</f>
        <v>15</v>
      </c>
      <c r="K49" s="31">
        <f t="shared" ref="K49:K53" si="35">IF(ISBLANK(D49),"",IFERROR(ROUND(D49 / (
  1000 ^ INT(LOG(ABS(D49),1000)) ),3
),"-"))</f>
        <v>15</v>
      </c>
      <c r="L49" s="31">
        <f t="shared" ref="L49:L53" si="36">IF(ISBLANK(E49),"",IFERROR(ROUND(E49 / (
  1000 ^ INT(LOG(ABS(E49),1000)) ),3
),"-"))</f>
        <v>15</v>
      </c>
      <c r="M49" s="31">
        <f t="shared" ref="M49:M53" si="37">IF(ISBLANK(F49),"",IFERROR(ROUND(F49 / (
  1000 ^ INT(LOG(ABS(F49),1000)) ),3
),"-"))</f>
        <v>15</v>
      </c>
      <c r="N49" s="31">
        <f t="shared" ref="N49:N53" si="38">IF(ISBLANK(G49),"",IFERROR(ROUND(G49 / (
  1000 ^ INT(LOG(ABS(G49),1000)) ),3
),"-"))</f>
        <v>15</v>
      </c>
      <c r="O49" s="32" t="str">
        <f t="shared" ref="O49:O53" si="39">IF(ISBLANK($H49),"",IFERROR(CHOOSE(
  INT(LOG(ABS(C49),1000)) + 6,"f","p","n","µ","m","","k","M","G","T","P"
) &amp; $H49,"-"))</f>
        <v>µF</v>
      </c>
      <c r="P49" s="42" t="s">
        <v>151</v>
      </c>
      <c r="Q49" s="44" t="s">
        <v>151</v>
      </c>
      <c r="R49" s="19" t="s">
        <v>107</v>
      </c>
      <c r="S49" s="38" t="s">
        <v>108</v>
      </c>
    </row>
    <row r="50" spans="2:21" x14ac:dyDescent="0.3">
      <c r="B50" s="29" t="s">
        <v>106</v>
      </c>
      <c r="C50" s="30">
        <v>4.4999999999999997E-3</v>
      </c>
      <c r="D50" s="33">
        <f>$C$50</f>
        <v>4.4999999999999997E-3</v>
      </c>
      <c r="E50" s="33">
        <f t="shared" ref="E50:G50" si="40">$C$50</f>
        <v>4.4999999999999997E-3</v>
      </c>
      <c r="F50" s="33">
        <f t="shared" si="40"/>
        <v>4.4999999999999997E-3</v>
      </c>
      <c r="G50" s="33">
        <f t="shared" si="40"/>
        <v>4.4999999999999997E-3</v>
      </c>
      <c r="H50" s="19" t="s">
        <v>5</v>
      </c>
      <c r="J50" s="31">
        <f t="shared" ref="J50" si="41">IF(ISBLANK(C50),"",IFERROR(ROUND(C50 / (
  1000 ^ INT(LOG(ABS(C50),1000)) ),3
),"-"))</f>
        <v>4.5</v>
      </c>
      <c r="K50" s="31">
        <f t="shared" ref="K50" si="42">IF(ISBLANK(D50),"",IFERROR(ROUND(D50 / (
  1000 ^ INT(LOG(ABS(D50),1000)) ),3
),"-"))</f>
        <v>4.5</v>
      </c>
      <c r="L50" s="31">
        <f t="shared" ref="L50" si="43">IF(ISBLANK(E50),"",IFERROR(ROUND(E50 / (
  1000 ^ INT(LOG(ABS(E50),1000)) ),3
),"-"))</f>
        <v>4.5</v>
      </c>
      <c r="M50" s="31">
        <f t="shared" ref="M50" si="44">IF(ISBLANK(F50),"",IFERROR(ROUND(F50 / (
  1000 ^ INT(LOG(ABS(F50),1000)) ),3
),"-"))</f>
        <v>4.5</v>
      </c>
      <c r="N50" s="31">
        <f t="shared" ref="N50" si="45">IF(ISBLANK(G50),"",IFERROR(ROUND(G50 / (
  1000 ^ INT(LOG(ABS(G50),1000)) ),3
),"-"))</f>
        <v>4.5</v>
      </c>
      <c r="O50" s="32" t="str">
        <f t="shared" ref="O50" si="46">IF(ISBLANK($H50),"",IFERROR(CHOOSE(
  INT(LOG(ABS(C50),1000)) + 6,"f","p","n","µ","m","","k","M","G","T","P"
) &amp; $H50,"-"))</f>
        <v>mOhm</v>
      </c>
      <c r="P50" s="19"/>
      <c r="Q50" s="19"/>
      <c r="U50" s="19" t="s">
        <v>112</v>
      </c>
    </row>
    <row r="51" spans="2:21" x14ac:dyDescent="0.3">
      <c r="B51" s="29" t="s">
        <v>104</v>
      </c>
      <c r="C51" s="39">
        <f>1-0.486</f>
        <v>0.51400000000000001</v>
      </c>
      <c r="D51" s="39">
        <f>1-0.111</f>
        <v>0.88900000000000001</v>
      </c>
      <c r="E51" s="39">
        <f>1-0.158</f>
        <v>0.84199999999999997</v>
      </c>
      <c r="F51" s="39">
        <f>1-0.309</f>
        <v>0.69100000000000006</v>
      </c>
      <c r="G51" s="39">
        <f>1-0.486</f>
        <v>0.51400000000000001</v>
      </c>
      <c r="J51" s="31">
        <f t="shared" si="34"/>
        <v>514</v>
      </c>
      <c r="K51" s="31">
        <f t="shared" si="35"/>
        <v>889</v>
      </c>
      <c r="L51" s="31">
        <f t="shared" si="36"/>
        <v>842</v>
      </c>
      <c r="M51" s="31">
        <f t="shared" si="37"/>
        <v>691</v>
      </c>
      <c r="N51" s="31">
        <f t="shared" si="38"/>
        <v>514</v>
      </c>
      <c r="O51" s="32" t="str">
        <f t="shared" si="39"/>
        <v/>
      </c>
      <c r="P51" s="19"/>
      <c r="Q51" s="19"/>
      <c r="U51" s="19" t="s">
        <v>112</v>
      </c>
    </row>
    <row r="52" spans="2:21" x14ac:dyDescent="0.3">
      <c r="B52" s="29" t="s">
        <v>105</v>
      </c>
      <c r="C52" s="25">
        <v>2</v>
      </c>
      <c r="D52" s="28">
        <f>$C$52</f>
        <v>2</v>
      </c>
      <c r="E52" s="28">
        <f t="shared" ref="E52:G52" si="47">$C$52</f>
        <v>2</v>
      </c>
      <c r="F52" s="28">
        <f t="shared" si="47"/>
        <v>2</v>
      </c>
      <c r="G52" s="28">
        <f t="shared" si="47"/>
        <v>2</v>
      </c>
      <c r="J52" s="31">
        <f t="shared" si="34"/>
        <v>2</v>
      </c>
      <c r="K52" s="31">
        <f t="shared" si="35"/>
        <v>2</v>
      </c>
      <c r="L52" s="31">
        <f t="shared" si="36"/>
        <v>2</v>
      </c>
      <c r="M52" s="31">
        <f t="shared" si="37"/>
        <v>2</v>
      </c>
      <c r="N52" s="31">
        <f t="shared" si="38"/>
        <v>2</v>
      </c>
      <c r="O52" s="32" t="str">
        <f t="shared" si="39"/>
        <v/>
      </c>
      <c r="P52" s="19"/>
      <c r="Q52" s="19"/>
    </row>
    <row r="53" spans="2:21" x14ac:dyDescent="0.3">
      <c r="B53" s="29" t="s">
        <v>58</v>
      </c>
      <c r="C53" s="33">
        <f>$C$51*$C$49</f>
        <v>7.7100000000000007E-6</v>
      </c>
      <c r="D53" s="33">
        <f>D50*$C$49</f>
        <v>6.7500000000000002E-8</v>
      </c>
      <c r="E53" s="33">
        <f t="shared" ref="E53:G53" si="48">E50*$C$49</f>
        <v>6.7500000000000002E-8</v>
      </c>
      <c r="F53" s="33">
        <f t="shared" si="48"/>
        <v>6.7500000000000002E-8</v>
      </c>
      <c r="G53" s="33">
        <f t="shared" si="48"/>
        <v>6.7500000000000002E-8</v>
      </c>
      <c r="H53" s="19" t="s">
        <v>37</v>
      </c>
      <c r="J53" s="31">
        <f t="shared" si="34"/>
        <v>7.71</v>
      </c>
      <c r="K53" s="31">
        <f t="shared" si="35"/>
        <v>67.5</v>
      </c>
      <c r="L53" s="31">
        <f t="shared" si="36"/>
        <v>67.5</v>
      </c>
      <c r="M53" s="31">
        <f t="shared" si="37"/>
        <v>67.5</v>
      </c>
      <c r="N53" s="31">
        <f t="shared" si="38"/>
        <v>67.5</v>
      </c>
      <c r="O53" s="32" t="str">
        <f t="shared" si="39"/>
        <v>µF</v>
      </c>
      <c r="P53" s="19"/>
      <c r="Q53" s="19"/>
    </row>
    <row r="54" spans="2:21" x14ac:dyDescent="0.3">
      <c r="B54" s="29" t="s">
        <v>117</v>
      </c>
      <c r="C54" s="33">
        <f>$C$52*$C$51*$C$49</f>
        <v>1.5420000000000001E-5</v>
      </c>
      <c r="D54" s="33">
        <f>$C$52*D51*$C$49</f>
        <v>2.667E-5</v>
      </c>
      <c r="E54" s="33">
        <f t="shared" ref="E54:G54" si="49">$C$52*E51*$C$49</f>
        <v>2.5259999999999999E-5</v>
      </c>
      <c r="F54" s="33">
        <f t="shared" si="49"/>
        <v>2.0730000000000003E-5</v>
      </c>
      <c r="G54" s="33">
        <f t="shared" si="49"/>
        <v>1.5420000000000001E-5</v>
      </c>
      <c r="H54" s="19" t="s">
        <v>37</v>
      </c>
      <c r="J54" s="31">
        <f t="shared" si="3"/>
        <v>15.42</v>
      </c>
      <c r="K54" s="31">
        <f t="shared" si="4"/>
        <v>26.67</v>
      </c>
      <c r="L54" s="31">
        <f t="shared" si="5"/>
        <v>25.26</v>
      </c>
      <c r="M54" s="31">
        <f t="shared" si="6"/>
        <v>20.73</v>
      </c>
      <c r="N54" s="31">
        <f t="shared" si="7"/>
        <v>15.42</v>
      </c>
      <c r="O54" s="32" t="str">
        <f t="shared" si="2"/>
        <v>µF</v>
      </c>
      <c r="P54" s="19"/>
      <c r="Q54" s="19"/>
    </row>
    <row r="55" spans="2:21" ht="15" thickBot="1" x14ac:dyDescent="0.35">
      <c r="B55" s="29" t="s">
        <v>106</v>
      </c>
      <c r="C55" s="33">
        <f>$C$50/$C$52</f>
        <v>2.2499999999999998E-3</v>
      </c>
      <c r="D55" s="33">
        <f>$C$50/$C$52</f>
        <v>2.2499999999999998E-3</v>
      </c>
      <c r="E55" s="33">
        <f t="shared" ref="E55:G55" si="50">$C$50/$C$52</f>
        <v>2.2499999999999998E-3</v>
      </c>
      <c r="F55" s="33">
        <f t="shared" si="50"/>
        <v>2.2499999999999998E-3</v>
      </c>
      <c r="G55" s="33">
        <f t="shared" si="50"/>
        <v>2.2499999999999998E-3</v>
      </c>
      <c r="H55" s="19" t="s">
        <v>5</v>
      </c>
      <c r="J55" s="31">
        <f t="shared" ref="J55" si="51">IF(ISBLANK(C55),"",IFERROR(ROUND(C55 / (
  1000 ^ INT(LOG(ABS(C55),1000)) ),3
),"-"))</f>
        <v>2.25</v>
      </c>
      <c r="K55" s="31">
        <f t="shared" ref="K55" si="52">IF(ISBLANK(D55),"",IFERROR(ROUND(D55 / (
  1000 ^ INT(LOG(ABS(D55),1000)) ),3
),"-"))</f>
        <v>2.25</v>
      </c>
      <c r="L55" s="31">
        <f t="shared" ref="L55" si="53">IF(ISBLANK(E55),"",IFERROR(ROUND(E55 / (
  1000 ^ INT(LOG(ABS(E55),1000)) ),3
),"-"))</f>
        <v>2.25</v>
      </c>
      <c r="M55" s="31">
        <f t="shared" ref="M55" si="54">IF(ISBLANK(F55),"",IFERROR(ROUND(F55 / (
  1000 ^ INT(LOG(ABS(F55),1000)) ),3
),"-"))</f>
        <v>2.25</v>
      </c>
      <c r="N55" s="31">
        <f t="shared" ref="N55" si="55">IF(ISBLANK(G55),"",IFERROR(ROUND(G55 / (
  1000 ^ INT(LOG(ABS(G55),1000)) ),3
),"-"))</f>
        <v>2.25</v>
      </c>
      <c r="O55" s="32" t="str">
        <f t="shared" ref="O55" si="56">IF(ISBLANK($H55),"",IFERROR(CHOOSE(
  INT(LOG(ABS(C55),1000)) + 6,"f","p","n","µ","m","","k","M","G","T","P"
) &amp; $H55,"-"))</f>
        <v>mOhm</v>
      </c>
      <c r="P55" s="19"/>
      <c r="Q55" s="19"/>
    </row>
    <row r="56" spans="2:21" ht="15.6" thickTop="1" thickBot="1" x14ac:dyDescent="0.35">
      <c r="B56" s="29" t="s">
        <v>59</v>
      </c>
      <c r="C56" s="34">
        <f>$C$5/(4*$C$13*$C$54)</f>
        <v>0.1801412307248883</v>
      </c>
      <c r="D56" s="34">
        <f>$C$5/(4*$C$13*D54)</f>
        <v>0.10415364746073408</v>
      </c>
      <c r="E56" s="34">
        <f t="shared" ref="E56:G56" si="57">$C$5/(4*$C$13*E54)</f>
        <v>0.10996744963490808</v>
      </c>
      <c r="F56" s="34">
        <f t="shared" si="57"/>
        <v>0.13399796323095886</v>
      </c>
      <c r="G56" s="34">
        <f t="shared" si="57"/>
        <v>0.1801412307248883</v>
      </c>
      <c r="H56" s="19" t="s">
        <v>0</v>
      </c>
      <c r="J56" s="26">
        <f t="shared" si="3"/>
        <v>180.14099999999999</v>
      </c>
      <c r="K56" s="26">
        <f t="shared" si="4"/>
        <v>104.154</v>
      </c>
      <c r="L56" s="26">
        <f t="shared" si="5"/>
        <v>109.967</v>
      </c>
      <c r="M56" s="26">
        <f t="shared" si="6"/>
        <v>133.99799999999999</v>
      </c>
      <c r="N56" s="26">
        <f t="shared" si="7"/>
        <v>180.14099999999999</v>
      </c>
      <c r="O56" s="37" t="str">
        <f t="shared" si="2"/>
        <v>mV</v>
      </c>
      <c r="P56" s="19"/>
      <c r="Q56" s="19"/>
    </row>
    <row r="57" spans="2:21" ht="15" thickTop="1" x14ac:dyDescent="0.3">
      <c r="B57" s="41" t="s">
        <v>84</v>
      </c>
      <c r="J57" s="19" t="str">
        <f t="shared" si="3"/>
        <v/>
      </c>
      <c r="K57" s="19" t="str">
        <f t="shared" si="4"/>
        <v/>
      </c>
      <c r="L57" s="19" t="str">
        <f t="shared" si="5"/>
        <v/>
      </c>
      <c r="M57" s="19" t="str">
        <f t="shared" si="6"/>
        <v/>
      </c>
      <c r="N57" s="19" t="str">
        <f t="shared" si="7"/>
        <v/>
      </c>
      <c r="O57" s="19" t="str">
        <f t="shared" si="2"/>
        <v/>
      </c>
      <c r="P57" s="19"/>
      <c r="Q57" s="19"/>
    </row>
    <row r="58" spans="2:21" x14ac:dyDescent="0.3">
      <c r="B58" s="29" t="s">
        <v>51</v>
      </c>
      <c r="C58" s="30">
        <v>2.5000000000000001E-2</v>
      </c>
      <c r="H58" s="19" t="s">
        <v>0</v>
      </c>
      <c r="J58" s="26">
        <f t="shared" si="3"/>
        <v>25</v>
      </c>
      <c r="K58" s="26" t="str">
        <f t="shared" si="4"/>
        <v/>
      </c>
      <c r="L58" s="26" t="str">
        <f t="shared" si="5"/>
        <v/>
      </c>
      <c r="M58" s="26" t="str">
        <f t="shared" si="6"/>
        <v/>
      </c>
      <c r="N58" s="26" t="str">
        <f t="shared" si="7"/>
        <v/>
      </c>
      <c r="O58" s="27" t="str">
        <f t="shared" si="2"/>
        <v>mV</v>
      </c>
      <c r="P58" s="19"/>
      <c r="Q58" s="19"/>
      <c r="U58" s="19" t="s">
        <v>55</v>
      </c>
    </row>
    <row r="59" spans="2:21" x14ac:dyDescent="0.3">
      <c r="B59" s="29" t="s">
        <v>77</v>
      </c>
      <c r="C59" s="30">
        <v>2E-3</v>
      </c>
      <c r="H59" s="19" t="s">
        <v>11</v>
      </c>
      <c r="J59" s="26">
        <f t="shared" si="3"/>
        <v>2</v>
      </c>
      <c r="K59" s="26" t="str">
        <f t="shared" si="4"/>
        <v/>
      </c>
      <c r="L59" s="26" t="str">
        <f t="shared" si="5"/>
        <v/>
      </c>
      <c r="M59" s="26" t="str">
        <f t="shared" si="6"/>
        <v/>
      </c>
      <c r="N59" s="26" t="str">
        <f t="shared" si="7"/>
        <v/>
      </c>
      <c r="O59" s="27" t="str">
        <f t="shared" si="2"/>
        <v>mOhms</v>
      </c>
      <c r="P59" s="19"/>
      <c r="Q59" s="19"/>
    </row>
    <row r="60" spans="2:21" x14ac:dyDescent="0.3">
      <c r="B60" s="29" t="s">
        <v>52</v>
      </c>
      <c r="C60" s="33">
        <f>1/(8*$C$13*SQRT(($C$58/$C$24)^2-$C$59^2))</f>
        <v>1.5286436884256107E-5</v>
      </c>
      <c r="H60" s="19" t="s">
        <v>37</v>
      </c>
      <c r="J60" s="26">
        <f t="shared" si="3"/>
        <v>15.286</v>
      </c>
      <c r="K60" s="26" t="str">
        <f t="shared" si="4"/>
        <v/>
      </c>
      <c r="L60" s="26" t="str">
        <f t="shared" si="5"/>
        <v/>
      </c>
      <c r="M60" s="26" t="str">
        <f t="shared" si="6"/>
        <v/>
      </c>
      <c r="N60" s="26" t="str">
        <f t="shared" si="7"/>
        <v/>
      </c>
      <c r="O60" s="27" t="str">
        <f t="shared" si="2"/>
        <v>µF</v>
      </c>
      <c r="P60" s="19"/>
      <c r="Q60" s="19"/>
    </row>
    <row r="61" spans="2:21" x14ac:dyDescent="0.3">
      <c r="B61" s="29" t="s">
        <v>109</v>
      </c>
      <c r="C61" s="30">
        <v>1.5E-5</v>
      </c>
      <c r="D61"/>
      <c r="E61"/>
      <c r="F61"/>
      <c r="G61"/>
      <c r="H61" s="19" t="s">
        <v>37</v>
      </c>
      <c r="J61" s="31">
        <f t="shared" si="3"/>
        <v>15</v>
      </c>
      <c r="K61" s="31" t="str">
        <f t="shared" si="4"/>
        <v/>
      </c>
      <c r="L61" s="31" t="str">
        <f t="shared" si="5"/>
        <v/>
      </c>
      <c r="M61" s="31" t="str">
        <f t="shared" si="6"/>
        <v/>
      </c>
      <c r="N61" s="31" t="str">
        <f t="shared" si="7"/>
        <v/>
      </c>
      <c r="O61" s="32" t="str">
        <f t="shared" si="2"/>
        <v>µF</v>
      </c>
      <c r="P61" s="42" t="s">
        <v>151</v>
      </c>
      <c r="Q61" s="44" t="s">
        <v>151</v>
      </c>
      <c r="R61" s="19" t="s">
        <v>107</v>
      </c>
      <c r="S61" s="38" t="s">
        <v>108</v>
      </c>
    </row>
    <row r="62" spans="2:21" x14ac:dyDescent="0.3">
      <c r="B62" s="29" t="s">
        <v>76</v>
      </c>
      <c r="C62" s="30">
        <v>4.4999999999999997E-3</v>
      </c>
      <c r="D62"/>
      <c r="E62"/>
      <c r="F62"/>
      <c r="G62"/>
      <c r="H62" s="19" t="s">
        <v>5</v>
      </c>
      <c r="J62" s="31">
        <f t="shared" si="3"/>
        <v>4.5</v>
      </c>
      <c r="K62" s="31" t="str">
        <f t="shared" si="4"/>
        <v/>
      </c>
      <c r="L62" s="31" t="str">
        <f t="shared" si="5"/>
        <v/>
      </c>
      <c r="M62" s="31" t="str">
        <f t="shared" si="6"/>
        <v/>
      </c>
      <c r="N62" s="31" t="str">
        <f t="shared" si="7"/>
        <v/>
      </c>
      <c r="O62" s="32" t="str">
        <f t="shared" si="2"/>
        <v>mOhm</v>
      </c>
      <c r="P62" s="19"/>
      <c r="Q62" s="19"/>
      <c r="U62" s="19" t="s">
        <v>112</v>
      </c>
    </row>
    <row r="63" spans="2:21" x14ac:dyDescent="0.3">
      <c r="B63" s="29" t="s">
        <v>110</v>
      </c>
      <c r="C63" s="39">
        <f>1-0.032</f>
        <v>0.96799999999999997</v>
      </c>
      <c r="D63"/>
      <c r="E63"/>
      <c r="F63"/>
      <c r="G63"/>
      <c r="J63" s="31">
        <f t="shared" si="3"/>
        <v>968</v>
      </c>
      <c r="K63" s="31" t="str">
        <f t="shared" si="4"/>
        <v/>
      </c>
      <c r="L63" s="31" t="str">
        <f t="shared" si="5"/>
        <v/>
      </c>
      <c r="M63" s="31" t="str">
        <f t="shared" si="6"/>
        <v/>
      </c>
      <c r="N63" s="31" t="str">
        <f t="shared" si="7"/>
        <v/>
      </c>
      <c r="O63" s="32" t="str">
        <f t="shared" si="2"/>
        <v/>
      </c>
      <c r="P63" s="19"/>
      <c r="Q63" s="19"/>
      <c r="U63" s="19" t="s">
        <v>112</v>
      </c>
    </row>
    <row r="64" spans="2:21" x14ac:dyDescent="0.3">
      <c r="B64" s="29" t="s">
        <v>111</v>
      </c>
      <c r="C64" s="25">
        <v>4</v>
      </c>
      <c r="D64"/>
      <c r="E64"/>
      <c r="F64"/>
      <c r="G64"/>
      <c r="J64" s="31">
        <f t="shared" si="3"/>
        <v>4</v>
      </c>
      <c r="K64" s="31" t="str">
        <f t="shared" si="4"/>
        <v/>
      </c>
      <c r="L64" s="31" t="str">
        <f t="shared" si="5"/>
        <v/>
      </c>
      <c r="M64" s="31" t="str">
        <f t="shared" si="6"/>
        <v/>
      </c>
      <c r="N64" s="31" t="str">
        <f t="shared" si="7"/>
        <v/>
      </c>
      <c r="O64" s="32" t="str">
        <f t="shared" si="2"/>
        <v/>
      </c>
      <c r="P64" s="19"/>
      <c r="Q64" s="19"/>
    </row>
    <row r="65" spans="2:19" x14ac:dyDescent="0.3">
      <c r="B65" s="29" t="s">
        <v>53</v>
      </c>
      <c r="C65" s="33">
        <f>$C$63*$C$61</f>
        <v>1.452E-5</v>
      </c>
      <c r="H65" s="19" t="s">
        <v>37</v>
      </c>
      <c r="J65" s="31">
        <f t="shared" ref="J65" si="58">IF(ISBLANK(C65),"",IFERROR(ROUND(C65 / (
  1000 ^ INT(LOG(ABS(C65),1000)) ),3
),"-"))</f>
        <v>14.52</v>
      </c>
      <c r="K65" s="31" t="str">
        <f t="shared" ref="K65" si="59">IF(ISBLANK(D65),"",IFERROR(ROUND(D65 / (
  1000 ^ INT(LOG(ABS(D65),1000)) ),3
),"-"))</f>
        <v/>
      </c>
      <c r="L65" s="31" t="str">
        <f t="shared" ref="L65" si="60">IF(ISBLANK(E65),"",IFERROR(ROUND(E65 / (
  1000 ^ INT(LOG(ABS(E65),1000)) ),3
),"-"))</f>
        <v/>
      </c>
      <c r="M65" s="31" t="str">
        <f t="shared" ref="M65" si="61">IF(ISBLANK(F65),"",IFERROR(ROUND(F65 / (
  1000 ^ INT(LOG(ABS(F65),1000)) ),3
),"-"))</f>
        <v/>
      </c>
      <c r="N65" s="31" t="str">
        <f t="shared" ref="N65" si="62">IF(ISBLANK(G65),"",IFERROR(ROUND(G65 / (
  1000 ^ INT(LOG(ABS(G65),1000)) ),3
),"-"))</f>
        <v/>
      </c>
      <c r="O65" s="32" t="str">
        <f t="shared" ref="O65" si="63">IF(ISBLANK($H65),"",IFERROR(CHOOSE(
  INT(LOG(ABS(C65),1000)) + 6,"f","p","n","µ","m","","k","M","G","T","P"
) &amp; $H65,"-"))</f>
        <v>µF</v>
      </c>
      <c r="P65" s="19"/>
      <c r="Q65" s="19"/>
    </row>
    <row r="66" spans="2:19" x14ac:dyDescent="0.3">
      <c r="B66" s="29" t="s">
        <v>116</v>
      </c>
      <c r="C66" s="33">
        <f>$C$64*$C$63*$C$61</f>
        <v>5.808E-5</v>
      </c>
      <c r="H66" s="19" t="s">
        <v>37</v>
      </c>
      <c r="J66" s="31">
        <f t="shared" si="3"/>
        <v>58.08</v>
      </c>
      <c r="K66" s="31" t="str">
        <f t="shared" si="4"/>
        <v/>
      </c>
      <c r="L66" s="31" t="str">
        <f t="shared" si="5"/>
        <v/>
      </c>
      <c r="M66" s="31" t="str">
        <f t="shared" si="6"/>
        <v/>
      </c>
      <c r="N66" s="31" t="str">
        <f t="shared" si="7"/>
        <v/>
      </c>
      <c r="O66" s="32" t="str">
        <f t="shared" si="2"/>
        <v>µF</v>
      </c>
      <c r="P66" s="19"/>
      <c r="Q66" s="19"/>
    </row>
    <row r="67" spans="2:19" ht="15" thickBot="1" x14ac:dyDescent="0.35">
      <c r="B67" s="29" t="s">
        <v>76</v>
      </c>
      <c r="C67" s="33">
        <f>$C$62/$C$64</f>
        <v>1.1249999999999999E-3</v>
      </c>
      <c r="H67" s="19" t="s">
        <v>11</v>
      </c>
      <c r="J67" s="31">
        <f t="shared" si="3"/>
        <v>1.125</v>
      </c>
      <c r="K67" s="31" t="str">
        <f t="shared" si="4"/>
        <v/>
      </c>
      <c r="L67" s="31" t="str">
        <f t="shared" si="5"/>
        <v/>
      </c>
      <c r="M67" s="31" t="str">
        <f t="shared" si="6"/>
        <v/>
      </c>
      <c r="N67" s="31" t="str">
        <f t="shared" si="7"/>
        <v/>
      </c>
      <c r="O67" s="32" t="str">
        <f t="shared" si="2"/>
        <v>mOhms</v>
      </c>
      <c r="P67" s="19"/>
      <c r="Q67" s="19"/>
    </row>
    <row r="68" spans="2:19" ht="15.6" thickTop="1" thickBot="1" x14ac:dyDescent="0.35">
      <c r="B68" s="29" t="s">
        <v>54</v>
      </c>
      <c r="C68" s="34">
        <f>$C$24*SQRT($C$67^2+(1/(8*$C$13*$C$66))^2)</f>
        <v>6.7189161678768766E-3</v>
      </c>
      <c r="H68" s="19" t="s">
        <v>0</v>
      </c>
      <c r="J68" s="26">
        <f t="shared" si="3"/>
        <v>6.7190000000000003</v>
      </c>
      <c r="K68" s="26" t="str">
        <f t="shared" si="4"/>
        <v/>
      </c>
      <c r="L68" s="26" t="str">
        <f t="shared" si="5"/>
        <v/>
      </c>
      <c r="M68" s="26" t="str">
        <f t="shared" si="6"/>
        <v/>
      </c>
      <c r="N68" s="26" t="str">
        <f t="shared" si="7"/>
        <v/>
      </c>
      <c r="O68" s="27" t="str">
        <f t="shared" si="2"/>
        <v>mV</v>
      </c>
      <c r="P68" s="19"/>
      <c r="Q68" s="19"/>
    </row>
    <row r="69" spans="2:19" ht="15" thickTop="1" x14ac:dyDescent="0.3">
      <c r="B69" s="41" t="s">
        <v>84</v>
      </c>
      <c r="J69" s="19" t="str">
        <f t="shared" si="3"/>
        <v/>
      </c>
      <c r="K69" s="19" t="str">
        <f t="shared" si="4"/>
        <v/>
      </c>
      <c r="L69" s="19" t="str">
        <f t="shared" si="5"/>
        <v/>
      </c>
      <c r="M69" s="19" t="str">
        <f t="shared" si="6"/>
        <v/>
      </c>
      <c r="N69" s="19" t="str">
        <f t="shared" si="7"/>
        <v/>
      </c>
      <c r="O69" s="19" t="str">
        <f t="shared" si="2"/>
        <v/>
      </c>
      <c r="P69" s="19"/>
      <c r="Q69" s="19"/>
    </row>
    <row r="70" spans="2:19" x14ac:dyDescent="0.3">
      <c r="B70" s="29" t="s">
        <v>65</v>
      </c>
      <c r="C70" s="25">
        <v>10</v>
      </c>
      <c r="J70" s="26">
        <f t="shared" si="3"/>
        <v>10</v>
      </c>
      <c r="K70" s="26" t="str">
        <f t="shared" si="4"/>
        <v/>
      </c>
      <c r="L70" s="26" t="str">
        <f t="shared" si="5"/>
        <v/>
      </c>
      <c r="M70" s="26" t="str">
        <f t="shared" si="6"/>
        <v/>
      </c>
      <c r="N70" s="26" t="str">
        <f t="shared" si="7"/>
        <v/>
      </c>
      <c r="O70" s="27" t="str">
        <f t="shared" si="2"/>
        <v/>
      </c>
      <c r="P70" s="19"/>
      <c r="Q70" s="19"/>
    </row>
    <row r="71" spans="2:19" x14ac:dyDescent="0.3">
      <c r="B71" s="29" t="s">
        <v>66</v>
      </c>
      <c r="C71" s="33">
        <f>$C$13/$C$70</f>
        <v>45000</v>
      </c>
      <c r="H71" s="19" t="s">
        <v>3</v>
      </c>
      <c r="J71" s="26">
        <f t="shared" si="3"/>
        <v>45</v>
      </c>
      <c r="K71" s="26" t="str">
        <f t="shared" si="4"/>
        <v/>
      </c>
      <c r="L71" s="26" t="str">
        <f t="shared" si="5"/>
        <v/>
      </c>
      <c r="M71" s="26" t="str">
        <f t="shared" si="6"/>
        <v/>
      </c>
      <c r="N71" s="26" t="str">
        <f t="shared" si="7"/>
        <v/>
      </c>
      <c r="O71" s="27" t="str">
        <f t="shared" si="2"/>
        <v>kHz</v>
      </c>
      <c r="P71" s="19"/>
      <c r="Q71" s="19"/>
    </row>
    <row r="72" spans="2:19" x14ac:dyDescent="0.3">
      <c r="B72" s="29" t="s">
        <v>67</v>
      </c>
      <c r="C72" s="33">
        <f>2*PI()*$C$30*10*$C$66*$C$8*$C$71</f>
        <v>12291.667239455159</v>
      </c>
      <c r="H72" s="19" t="s">
        <v>11</v>
      </c>
      <c r="J72" s="26">
        <f t="shared" si="3"/>
        <v>12.292</v>
      </c>
      <c r="K72" s="26" t="str">
        <f t="shared" si="4"/>
        <v/>
      </c>
      <c r="L72" s="26" t="str">
        <f t="shared" si="5"/>
        <v/>
      </c>
      <c r="M72" s="26" t="str">
        <f t="shared" si="6"/>
        <v/>
      </c>
      <c r="N72" s="26" t="str">
        <f t="shared" si="7"/>
        <v/>
      </c>
      <c r="O72" s="37" t="str">
        <f t="shared" si="2"/>
        <v>kOhms</v>
      </c>
      <c r="P72" s="19"/>
      <c r="Q72" s="19"/>
    </row>
    <row r="73" spans="2:19" ht="15" thickBot="1" x14ac:dyDescent="0.35">
      <c r="B73" s="29" t="s">
        <v>69</v>
      </c>
      <c r="C73" s="30">
        <v>12400</v>
      </c>
      <c r="H73" s="19" t="s">
        <v>11</v>
      </c>
      <c r="J73" s="31">
        <f t="shared" si="3"/>
        <v>12.4</v>
      </c>
      <c r="K73" s="31" t="str">
        <f t="shared" si="4"/>
        <v/>
      </c>
      <c r="L73" s="31" t="str">
        <f t="shared" si="5"/>
        <v/>
      </c>
      <c r="M73" s="31" t="str">
        <f t="shared" si="6"/>
        <v/>
      </c>
      <c r="N73" s="31" t="str">
        <f t="shared" si="7"/>
        <v/>
      </c>
      <c r="O73" s="32" t="str">
        <f t="shared" si="2"/>
        <v>kOhms</v>
      </c>
      <c r="P73" s="42" t="s">
        <v>151</v>
      </c>
      <c r="Q73" s="44" t="s">
        <v>151</v>
      </c>
      <c r="R73" s="19" t="s">
        <v>99</v>
      </c>
      <c r="S73" s="38" t="s">
        <v>121</v>
      </c>
    </row>
    <row r="74" spans="2:19" ht="15.6" thickTop="1" thickBot="1" x14ac:dyDescent="0.35">
      <c r="B74" s="29" t="s">
        <v>70</v>
      </c>
      <c r="C74" s="34">
        <f>$C$73/(2*PI()*$C$30*10*$C$66*$C$8)</f>
        <v>45396.608054021315</v>
      </c>
      <c r="H74" s="19" t="s">
        <v>3</v>
      </c>
      <c r="J74" s="26">
        <f t="shared" si="3"/>
        <v>45.396999999999998</v>
      </c>
      <c r="K74" s="26" t="str">
        <f t="shared" si="4"/>
        <v/>
      </c>
      <c r="L74" s="26" t="str">
        <f t="shared" si="5"/>
        <v/>
      </c>
      <c r="M74" s="26" t="str">
        <f t="shared" si="6"/>
        <v/>
      </c>
      <c r="N74" s="26" t="str">
        <f t="shared" si="7"/>
        <v/>
      </c>
      <c r="O74" s="37" t="str">
        <f t="shared" si="2"/>
        <v>kHz</v>
      </c>
      <c r="P74" s="19"/>
      <c r="Q74" s="19"/>
    </row>
    <row r="75" spans="2:19" ht="15" thickTop="1" x14ac:dyDescent="0.3">
      <c r="B75" s="41" t="s">
        <v>84</v>
      </c>
      <c r="J75" s="19" t="str">
        <f t="shared" si="3"/>
        <v/>
      </c>
      <c r="K75" s="19" t="str">
        <f t="shared" si="4"/>
        <v/>
      </c>
      <c r="L75" s="19" t="str">
        <f t="shared" si="5"/>
        <v/>
      </c>
      <c r="M75" s="19" t="str">
        <f t="shared" si="6"/>
        <v/>
      </c>
      <c r="N75" s="19" t="str">
        <f t="shared" si="7"/>
        <v/>
      </c>
      <c r="O75" s="19" t="str">
        <f t="shared" si="2"/>
        <v/>
      </c>
      <c r="P75" s="19"/>
      <c r="Q75" s="19"/>
    </row>
    <row r="76" spans="2:19" x14ac:dyDescent="0.3">
      <c r="B76" s="29" t="s">
        <v>71</v>
      </c>
      <c r="C76" s="33">
        <f>($C$7/$C$5)*$C$66/$C$73</f>
        <v>1.1241290322580644E-8</v>
      </c>
      <c r="H76" s="19" t="s">
        <v>37</v>
      </c>
      <c r="J76" s="26">
        <f t="shared" si="3"/>
        <v>11.241</v>
      </c>
      <c r="K76" s="26" t="str">
        <f t="shared" si="4"/>
        <v/>
      </c>
      <c r="L76" s="26" t="str">
        <f t="shared" si="5"/>
        <v/>
      </c>
      <c r="M76" s="26" t="str">
        <f t="shared" si="6"/>
        <v/>
      </c>
      <c r="N76" s="26" t="str">
        <f t="shared" si="7"/>
        <v/>
      </c>
      <c r="O76" s="37" t="str">
        <f t="shared" si="2"/>
        <v>nF</v>
      </c>
      <c r="P76" s="19"/>
      <c r="Q76" s="19"/>
    </row>
    <row r="77" spans="2:19" x14ac:dyDescent="0.3">
      <c r="B77" s="29" t="s">
        <v>72</v>
      </c>
      <c r="C77" s="30">
        <v>1.2E-8</v>
      </c>
      <c r="H77" s="19" t="s">
        <v>37</v>
      </c>
      <c r="J77" s="31">
        <f t="shared" si="3"/>
        <v>12</v>
      </c>
      <c r="K77" s="31" t="str">
        <f t="shared" si="4"/>
        <v/>
      </c>
      <c r="L77" s="31" t="str">
        <f t="shared" si="5"/>
        <v/>
      </c>
      <c r="M77" s="31" t="str">
        <f t="shared" si="6"/>
        <v/>
      </c>
      <c r="N77" s="31" t="str">
        <f t="shared" si="7"/>
        <v/>
      </c>
      <c r="O77" s="32" t="str">
        <f t="shared" si="2"/>
        <v>nF</v>
      </c>
      <c r="P77" s="42" t="s">
        <v>151</v>
      </c>
      <c r="Q77" s="44" t="s">
        <v>151</v>
      </c>
      <c r="R77" s="19" t="s">
        <v>97</v>
      </c>
      <c r="S77" s="38" t="s">
        <v>115</v>
      </c>
    </row>
    <row r="78" spans="2:19" x14ac:dyDescent="0.3">
      <c r="B78" s="41" t="s">
        <v>84</v>
      </c>
      <c r="J78" s="19" t="str">
        <f t="shared" si="3"/>
        <v/>
      </c>
      <c r="K78" s="19" t="str">
        <f t="shared" si="4"/>
        <v/>
      </c>
      <c r="L78" s="19" t="str">
        <f t="shared" si="5"/>
        <v/>
      </c>
      <c r="M78" s="19" t="str">
        <f t="shared" si="6"/>
        <v/>
      </c>
      <c r="N78" s="19" t="str">
        <f t="shared" si="7"/>
        <v/>
      </c>
      <c r="O78" s="19" t="str">
        <f t="shared" si="2"/>
        <v/>
      </c>
      <c r="P78" s="19"/>
      <c r="Q78" s="19"/>
    </row>
    <row r="79" spans="2:19" x14ac:dyDescent="0.3">
      <c r="B79" s="29" t="s">
        <v>73</v>
      </c>
      <c r="C79" s="33">
        <f>(($C$67/2)*$C$66*$C$77)/($C$73*$C$77-($C$67/2)*$C$66)</f>
        <v>2.6352560068127851E-12</v>
      </c>
      <c r="H79" s="19" t="s">
        <v>37</v>
      </c>
      <c r="J79" s="26">
        <f t="shared" si="3"/>
        <v>2.6349999999999998</v>
      </c>
      <c r="K79" s="26" t="str">
        <f t="shared" si="4"/>
        <v/>
      </c>
      <c r="L79" s="26" t="str">
        <f t="shared" si="5"/>
        <v/>
      </c>
      <c r="M79" s="26" t="str">
        <f t="shared" si="6"/>
        <v/>
      </c>
      <c r="N79" s="26" t="str">
        <f t="shared" si="7"/>
        <v/>
      </c>
      <c r="O79" s="37" t="str">
        <f t="shared" si="2"/>
        <v>pF</v>
      </c>
      <c r="P79" s="19"/>
      <c r="Q79" s="19"/>
    </row>
    <row r="80" spans="2:19" x14ac:dyDescent="0.3">
      <c r="B80" s="29" t="s">
        <v>74</v>
      </c>
      <c r="C80" s="30">
        <v>2.6999999999999998E-12</v>
      </c>
      <c r="H80" s="19" t="s">
        <v>37</v>
      </c>
      <c r="J80" s="31">
        <f t="shared" si="3"/>
        <v>2.7</v>
      </c>
      <c r="K80" s="31" t="str">
        <f t="shared" si="4"/>
        <v/>
      </c>
      <c r="L80" s="31" t="str">
        <f t="shared" si="5"/>
        <v/>
      </c>
      <c r="M80" s="31" t="str">
        <f t="shared" si="6"/>
        <v/>
      </c>
      <c r="N80" s="31" t="str">
        <f t="shared" si="7"/>
        <v/>
      </c>
      <c r="O80" s="32" t="str">
        <f t="shared" si="2"/>
        <v>pF</v>
      </c>
      <c r="P80" s="42" t="s">
        <v>151</v>
      </c>
      <c r="Q80" s="44" t="s">
        <v>151</v>
      </c>
      <c r="R80" s="19" t="s">
        <v>97</v>
      </c>
      <c r="S80" s="38" t="s">
        <v>122</v>
      </c>
    </row>
    <row r="81" spans="2:21" x14ac:dyDescent="0.3">
      <c r="B81" s="41" t="s">
        <v>84</v>
      </c>
      <c r="J81" s="19" t="str">
        <f t="shared" si="3"/>
        <v/>
      </c>
      <c r="K81" s="19" t="str">
        <f t="shared" si="4"/>
        <v/>
      </c>
      <c r="L81" s="19" t="str">
        <f t="shared" si="5"/>
        <v/>
      </c>
      <c r="M81" s="19" t="str">
        <f t="shared" si="6"/>
        <v/>
      </c>
      <c r="N81" s="19" t="str">
        <f t="shared" si="7"/>
        <v/>
      </c>
      <c r="O81" s="19" t="str">
        <f t="shared" si="2"/>
        <v/>
      </c>
      <c r="P81" s="19"/>
      <c r="Q81" s="19"/>
    </row>
    <row r="82" spans="2:21" x14ac:dyDescent="0.3">
      <c r="B82" s="29" t="s">
        <v>78</v>
      </c>
      <c r="C82" s="33">
        <f>1/(2*PI()*$C$66*$C$7/$C$5)</f>
        <v>1141.7796078103145</v>
      </c>
      <c r="H82" s="19" t="s">
        <v>3</v>
      </c>
      <c r="J82" s="26">
        <f t="shared" ref="J82:J85" si="64">IF(ISBLANK(C82),"",IFERROR(ROUND(C82 / (
  1000 ^ INT(LOG(ABS(C82),1000)) ),3
),"-"))</f>
        <v>1.1419999999999999</v>
      </c>
      <c r="K82" s="26" t="str">
        <f t="shared" si="4"/>
        <v/>
      </c>
      <c r="L82" s="26" t="str">
        <f t="shared" si="5"/>
        <v/>
      </c>
      <c r="M82" s="26" t="str">
        <f t="shared" si="6"/>
        <v/>
      </c>
      <c r="N82" s="26" t="str">
        <f t="shared" si="7"/>
        <v/>
      </c>
      <c r="O82" s="37" t="str">
        <f t="shared" ref="O82:O85" si="65">IF(ISBLANK($H82),"",IFERROR(CHOOSE(
  INT(LOG(ABS(C82),1000)) + 6,"f","p","n","µ","m","","k","M","G","T","P"
) &amp; $H82,"-"))</f>
        <v>kHz</v>
      </c>
      <c r="P82" s="19"/>
      <c r="Q82" s="19"/>
    </row>
    <row r="83" spans="2:21" x14ac:dyDescent="0.3">
      <c r="B83" s="29" t="s">
        <v>79</v>
      </c>
      <c r="C83" s="33">
        <f>1/(2*PI()*$C$73*$C$77)</f>
        <v>1069.5896713165009</v>
      </c>
      <c r="H83" s="19" t="s">
        <v>3</v>
      </c>
      <c r="J83" s="26">
        <f t="shared" si="64"/>
        <v>1.07</v>
      </c>
      <c r="K83" s="26" t="str">
        <f t="shared" si="4"/>
        <v/>
      </c>
      <c r="L83" s="26" t="str">
        <f t="shared" si="5"/>
        <v/>
      </c>
      <c r="M83" s="26" t="str">
        <f t="shared" si="6"/>
        <v/>
      </c>
      <c r="N83" s="26" t="str">
        <f t="shared" si="7"/>
        <v/>
      </c>
      <c r="O83" s="37" t="str">
        <f t="shared" si="65"/>
        <v>kHz</v>
      </c>
      <c r="P83" s="19"/>
      <c r="Q83" s="19"/>
    </row>
    <row r="84" spans="2:21" x14ac:dyDescent="0.3">
      <c r="B84" s="29" t="s">
        <v>80</v>
      </c>
      <c r="C84" s="33">
        <f>1/(2*PI()*$C$73*(1/(1/$C$80+1/$C$77)))</f>
        <v>4754801.4621890988</v>
      </c>
      <c r="H84" s="19" t="s">
        <v>3</v>
      </c>
      <c r="J84" s="26">
        <f t="shared" si="64"/>
        <v>4.7549999999999999</v>
      </c>
      <c r="K84" s="26" t="str">
        <f t="shared" si="4"/>
        <v/>
      </c>
      <c r="L84" s="26" t="str">
        <f t="shared" si="5"/>
        <v/>
      </c>
      <c r="M84" s="26" t="str">
        <f t="shared" si="6"/>
        <v/>
      </c>
      <c r="N84" s="26" t="str">
        <f t="shared" si="7"/>
        <v/>
      </c>
      <c r="O84" s="37" t="str">
        <f t="shared" si="65"/>
        <v>MHz</v>
      </c>
      <c r="P84" s="19"/>
      <c r="Q84" s="19"/>
    </row>
    <row r="85" spans="2:21" x14ac:dyDescent="0.3">
      <c r="B85" s="29" t="s">
        <v>81</v>
      </c>
      <c r="C85" s="33">
        <f>1/($C$67*$C$66)</f>
        <v>15304560.759106217</v>
      </c>
      <c r="H85" s="19" t="s">
        <v>3</v>
      </c>
      <c r="J85" s="26">
        <f t="shared" si="64"/>
        <v>15.305</v>
      </c>
      <c r="K85" s="26" t="str">
        <f t="shared" si="4"/>
        <v/>
      </c>
      <c r="L85" s="26" t="str">
        <f t="shared" si="5"/>
        <v/>
      </c>
      <c r="M85" s="26" t="str">
        <f t="shared" si="6"/>
        <v/>
      </c>
      <c r="N85" s="26" t="str">
        <f t="shared" si="7"/>
        <v/>
      </c>
      <c r="O85" s="37" t="str">
        <f t="shared" si="65"/>
        <v>MHz</v>
      </c>
      <c r="P85" s="19"/>
      <c r="Q85" s="19"/>
    </row>
    <row r="86" spans="2:21" x14ac:dyDescent="0.3">
      <c r="B86" s="41" t="s">
        <v>84</v>
      </c>
      <c r="P86" s="19"/>
      <c r="Q86" s="19"/>
    </row>
    <row r="87" spans="2:21" x14ac:dyDescent="0.3">
      <c r="B87" s="41" t="s">
        <v>84</v>
      </c>
      <c r="P87" s="19"/>
      <c r="Q87" s="19"/>
    </row>
    <row r="88" spans="2:21" x14ac:dyDescent="0.3">
      <c r="B88" s="29" t="s">
        <v>126</v>
      </c>
      <c r="C88" s="30">
        <v>10700</v>
      </c>
      <c r="H88" s="19" t="s">
        <v>11</v>
      </c>
      <c r="J88" s="31">
        <f t="shared" ref="J88" si="66">IF(ISBLANK(C88),"",IFERROR(ROUND(C88 / (
  1000 ^ INT(LOG(ABS(C88),1000)) ),3
),"-"))</f>
        <v>10.7</v>
      </c>
      <c r="K88" s="31" t="str">
        <f t="shared" ref="K88" si="67">IF(ISBLANK(D88),"",IFERROR(ROUND(D88 / (
  1000 ^ INT(LOG(ABS(D88),1000)) ),3
),"-"))</f>
        <v/>
      </c>
      <c r="L88" s="31" t="str">
        <f t="shared" ref="L88" si="68">IF(ISBLANK(E88),"",IFERROR(ROUND(E88 / (
  1000 ^ INT(LOG(ABS(E88),1000)) ),3
),"-"))</f>
        <v/>
      </c>
      <c r="M88" s="31" t="str">
        <f t="shared" ref="M88" si="69">IF(ISBLANK(F88),"",IFERROR(ROUND(F88 / (
  1000 ^ INT(LOG(ABS(F88),1000)) ),3
),"-"))</f>
        <v/>
      </c>
      <c r="N88" s="31" t="str">
        <f t="shared" ref="N88" si="70">IF(ISBLANK(G88),"",IFERROR(ROUND(G88 / (
  1000 ^ INT(LOG(ABS(G88),1000)) ),3
),"-"))</f>
        <v/>
      </c>
      <c r="O88" s="32" t="str">
        <f t="shared" ref="O88" si="71">IF(ISBLANK($H88),"",IFERROR(CHOOSE(
  INT(LOG(ABS(C88),1000)) + 6,"f","p","n","µ","m","","k","M","G","T","P"
) &amp; $H88,"-"))</f>
        <v>kOhms</v>
      </c>
      <c r="P88" s="42" t="s">
        <v>151</v>
      </c>
      <c r="Q88" s="44" t="s">
        <v>151</v>
      </c>
      <c r="R88" s="19" t="s">
        <v>99</v>
      </c>
      <c r="S88" s="38" t="s">
        <v>127</v>
      </c>
      <c r="T88" s="19" t="s">
        <v>155</v>
      </c>
    </row>
    <row r="89" spans="2:21" x14ac:dyDescent="0.3">
      <c r="B89" s="29" t="s">
        <v>128</v>
      </c>
      <c r="C89" s="30">
        <v>4.7E-7</v>
      </c>
      <c r="H89" s="19" t="s">
        <v>37</v>
      </c>
      <c r="J89" s="31">
        <f t="shared" ref="J89:J90" si="72">IF(ISBLANK(C89),"",IFERROR(ROUND(C89 / (
  1000 ^ INT(LOG(ABS(C89),1000)) ),3
),"-"))</f>
        <v>470</v>
      </c>
      <c r="K89" s="31" t="str">
        <f t="shared" ref="K89:K90" si="73">IF(ISBLANK(D89),"",IFERROR(ROUND(D89 / (
  1000 ^ INT(LOG(ABS(D89),1000)) ),3
),"-"))</f>
        <v/>
      </c>
      <c r="L89" s="31" t="str">
        <f t="shared" ref="L89:L90" si="74">IF(ISBLANK(E89),"",IFERROR(ROUND(E89 / (
  1000 ^ INT(LOG(ABS(E89),1000)) ),3
),"-"))</f>
        <v/>
      </c>
      <c r="M89" s="31" t="str">
        <f t="shared" ref="M89:M90" si="75">IF(ISBLANK(F89),"",IFERROR(ROUND(F89 / (
  1000 ^ INT(LOG(ABS(F89),1000)) ),3
),"-"))</f>
        <v/>
      </c>
      <c r="N89" s="31" t="str">
        <f t="shared" ref="N89:N90" si="76">IF(ISBLANK(G89),"",IFERROR(ROUND(G89 / (
  1000 ^ INT(LOG(ABS(G89),1000)) ),3
),"-"))</f>
        <v/>
      </c>
      <c r="O89" s="32" t="str">
        <f t="shared" ref="O89:O90" si="77">IF(ISBLANK($H89),"",IFERROR(CHOOSE(
  INT(LOG(ABS(C89),1000)) + 6,"f","p","n","µ","m","","k","M","G","T","P"
) &amp; $H89,"-"))</f>
        <v>nF</v>
      </c>
      <c r="P89" s="42" t="s">
        <v>151</v>
      </c>
      <c r="Q89" s="44" t="s">
        <v>151</v>
      </c>
      <c r="R89" s="19" t="s">
        <v>97</v>
      </c>
      <c r="S89" s="38" t="s">
        <v>129</v>
      </c>
    </row>
    <row r="90" spans="2:21" x14ac:dyDescent="0.3">
      <c r="B90" s="29" t="s">
        <v>130</v>
      </c>
      <c r="C90" s="30">
        <v>1.2E-8</v>
      </c>
      <c r="H90" s="19" t="s">
        <v>37</v>
      </c>
      <c r="J90" s="31">
        <f t="shared" si="72"/>
        <v>12</v>
      </c>
      <c r="K90" s="31" t="str">
        <f t="shared" si="73"/>
        <v/>
      </c>
      <c r="L90" s="31" t="str">
        <f t="shared" si="74"/>
        <v/>
      </c>
      <c r="M90" s="31" t="str">
        <f t="shared" si="75"/>
        <v/>
      </c>
      <c r="N90" s="31" t="str">
        <f t="shared" si="76"/>
        <v/>
      </c>
      <c r="O90" s="32" t="str">
        <f t="shared" si="77"/>
        <v>nF</v>
      </c>
      <c r="P90" s="42" t="s">
        <v>151</v>
      </c>
      <c r="Q90" s="44" t="s">
        <v>151</v>
      </c>
      <c r="R90" s="19" t="s">
        <v>97</v>
      </c>
      <c r="S90" s="38" t="s">
        <v>115</v>
      </c>
    </row>
    <row r="91" spans="2:21" x14ac:dyDescent="0.3">
      <c r="B91" s="41" t="s">
        <v>84</v>
      </c>
      <c r="P91" s="19"/>
      <c r="Q91" s="19"/>
    </row>
    <row r="92" spans="2:21" x14ac:dyDescent="0.3">
      <c r="B92" s="29" t="s">
        <v>131</v>
      </c>
      <c r="C92" s="30">
        <v>4.7E-7</v>
      </c>
      <c r="H92" s="19" t="s">
        <v>37</v>
      </c>
      <c r="J92" s="31">
        <f t="shared" ref="J92" si="78">IF(ISBLANK(C92),"",IFERROR(ROUND(C92 / (
  1000 ^ INT(LOG(ABS(C92),1000)) ),3
),"-"))</f>
        <v>470</v>
      </c>
      <c r="K92" s="31" t="str">
        <f t="shared" ref="K92" si="79">IF(ISBLANK(D92),"",IFERROR(ROUND(D92 / (
  1000 ^ INT(LOG(ABS(D92),1000)) ),3
),"-"))</f>
        <v/>
      </c>
      <c r="L92" s="31" t="str">
        <f t="shared" ref="L92" si="80">IF(ISBLANK(E92),"",IFERROR(ROUND(E92 / (
  1000 ^ INT(LOG(ABS(E92),1000)) ),3
),"-"))</f>
        <v/>
      </c>
      <c r="M92" s="31" t="str">
        <f t="shared" ref="M92" si="81">IF(ISBLANK(F92),"",IFERROR(ROUND(F92 / (
  1000 ^ INT(LOG(ABS(F92),1000)) ),3
),"-"))</f>
        <v/>
      </c>
      <c r="N92" s="31" t="str">
        <f t="shared" ref="N92" si="82">IF(ISBLANK(G92),"",IFERROR(ROUND(G92 / (
  1000 ^ INT(LOG(ABS(G92),1000)) ),3
),"-"))</f>
        <v/>
      </c>
      <c r="O92" s="32" t="str">
        <f t="shared" ref="O92" si="83">IF(ISBLANK($H92),"",IFERROR(CHOOSE(
  INT(LOG(ABS(C92),1000)) + 6,"f","p","n","µ","m","","k","M","G","T","P"
) &amp; $H92,"-"))</f>
        <v>nF</v>
      </c>
      <c r="P92" s="42" t="s">
        <v>151</v>
      </c>
      <c r="Q92" s="44" t="s">
        <v>151</v>
      </c>
      <c r="R92" s="19" t="s">
        <v>97</v>
      </c>
      <c r="S92" s="38" t="s">
        <v>129</v>
      </c>
    </row>
    <row r="93" spans="2:21" x14ac:dyDescent="0.3">
      <c r="B93" s="29" t="s">
        <v>132</v>
      </c>
      <c r="C93" s="30">
        <v>9.9999999999999995E-8</v>
      </c>
      <c r="H93" s="19" t="s">
        <v>37</v>
      </c>
      <c r="J93" s="31">
        <f t="shared" ref="J93" si="84">IF(ISBLANK(C93),"",IFERROR(ROUND(C93 / (
  1000 ^ INT(LOG(ABS(C93),1000)) ),3
),"-"))</f>
        <v>100</v>
      </c>
      <c r="K93" s="31" t="str">
        <f t="shared" ref="K93" si="85">IF(ISBLANK(D93),"",IFERROR(ROUND(D93 / (
  1000 ^ INT(LOG(ABS(D93),1000)) ),3
),"-"))</f>
        <v/>
      </c>
      <c r="L93" s="31" t="str">
        <f t="shared" ref="L93" si="86">IF(ISBLANK(E93),"",IFERROR(ROUND(E93 / (
  1000 ^ INT(LOG(ABS(E93),1000)) ),3
),"-"))</f>
        <v/>
      </c>
      <c r="M93" s="31" t="str">
        <f t="shared" ref="M93" si="87">IF(ISBLANK(F93),"",IFERROR(ROUND(F93 / (
  1000 ^ INT(LOG(ABS(F93),1000)) ),3
),"-"))</f>
        <v/>
      </c>
      <c r="N93" s="31" t="str">
        <f t="shared" ref="N93" si="88">IF(ISBLANK(G93),"",IFERROR(ROUND(G93 / (
  1000 ^ INT(LOG(ABS(G93),1000)) ),3
),"-"))</f>
        <v/>
      </c>
      <c r="O93" s="32" t="str">
        <f t="shared" ref="O93" si="89">IF(ISBLANK($H93),"",IFERROR(CHOOSE(
  INT(LOG(ABS(C93),1000)) + 6,"f","p","n","µ","m","","k","M","G","T","P"
) &amp; $H93,"-"))</f>
        <v>nF</v>
      </c>
      <c r="P93" s="42" t="s">
        <v>151</v>
      </c>
      <c r="Q93" s="44" t="s">
        <v>151</v>
      </c>
      <c r="R93" s="19" t="s">
        <v>97</v>
      </c>
      <c r="S93" s="38" t="s">
        <v>133</v>
      </c>
      <c r="T93" s="19" t="s">
        <v>156</v>
      </c>
    </row>
    <row r="94" spans="2:21" x14ac:dyDescent="0.3">
      <c r="B94" s="41" t="s">
        <v>84</v>
      </c>
      <c r="P94" s="19"/>
      <c r="Q94" s="19"/>
    </row>
    <row r="95" spans="2:21" x14ac:dyDescent="0.3">
      <c r="B95" s="29" t="s">
        <v>134</v>
      </c>
      <c r="C95" s="30">
        <v>10</v>
      </c>
      <c r="H95" s="19" t="s">
        <v>11</v>
      </c>
      <c r="J95" s="31">
        <f t="shared" ref="J95:J97" si="90">IF(ISBLANK(C95),"",IFERROR(ROUND(C95 / (
  1000 ^ INT(LOG(ABS(C95),1000)) ),3
),"-"))</f>
        <v>10</v>
      </c>
      <c r="K95" s="31" t="str">
        <f t="shared" ref="K95:K97" si="91">IF(ISBLANK(D95),"",IFERROR(ROUND(D95 / (
  1000 ^ INT(LOG(ABS(D95),1000)) ),3
),"-"))</f>
        <v/>
      </c>
      <c r="L95" s="31" t="str">
        <f t="shared" ref="L95:L97" si="92">IF(ISBLANK(E95),"",IFERROR(ROUND(E95 / (
  1000 ^ INT(LOG(ABS(E95),1000)) ),3
),"-"))</f>
        <v/>
      </c>
      <c r="M95" s="31" t="str">
        <f t="shared" ref="M95:M97" si="93">IF(ISBLANK(F95),"",IFERROR(ROUND(F95 / (
  1000 ^ INT(LOG(ABS(F95),1000)) ),3
),"-"))</f>
        <v/>
      </c>
      <c r="N95" s="31" t="str">
        <f t="shared" ref="N95:N97" si="94">IF(ISBLANK(G95),"",IFERROR(ROUND(G95 / (
  1000 ^ INT(LOG(ABS(G95),1000)) ),3
),"-"))</f>
        <v/>
      </c>
      <c r="O95" s="32" t="str">
        <f t="shared" ref="O95:O97" si="95">IF(ISBLANK($H95),"",IFERROR(CHOOSE(
  INT(LOG(ABS(C95),1000)) + 6,"f","p","n","µ","m","","k","M","G","T","P"
) &amp; $H95,"-"))</f>
        <v>Ohms</v>
      </c>
      <c r="P95" s="42" t="s">
        <v>151</v>
      </c>
      <c r="Q95" s="44" t="s">
        <v>151</v>
      </c>
      <c r="R95" s="19" t="s">
        <v>99</v>
      </c>
      <c r="S95" s="38" t="s">
        <v>135</v>
      </c>
      <c r="U95" s="19" t="s">
        <v>136</v>
      </c>
    </row>
    <row r="96" spans="2:21" x14ac:dyDescent="0.3">
      <c r="B96" s="29" t="s">
        <v>138</v>
      </c>
      <c r="C96" s="30">
        <v>10</v>
      </c>
      <c r="H96" s="19" t="s">
        <v>11</v>
      </c>
      <c r="J96" s="31">
        <f t="shared" ref="J96" si="96">IF(ISBLANK(C96),"",IFERROR(ROUND(C96 / (
  1000 ^ INT(LOG(ABS(C96),1000)) ),3
),"-"))</f>
        <v>10</v>
      </c>
      <c r="K96" s="31" t="str">
        <f t="shared" ref="K96" si="97">IF(ISBLANK(D96),"",IFERROR(ROUND(D96 / (
  1000 ^ INT(LOG(ABS(D96),1000)) ),3
),"-"))</f>
        <v/>
      </c>
      <c r="L96" s="31" t="str">
        <f t="shared" ref="L96" si="98">IF(ISBLANK(E96),"",IFERROR(ROUND(E96 / (
  1000 ^ INT(LOG(ABS(E96),1000)) ),3
),"-"))</f>
        <v/>
      </c>
      <c r="M96" s="31" t="str">
        <f t="shared" ref="M96" si="99">IF(ISBLANK(F96),"",IFERROR(ROUND(F96 / (
  1000 ^ INT(LOG(ABS(F96),1000)) ),3
),"-"))</f>
        <v/>
      </c>
      <c r="N96" s="31" t="str">
        <f t="shared" ref="N96" si="100">IF(ISBLANK(G96),"",IFERROR(ROUND(G96 / (
  1000 ^ INT(LOG(ABS(G96),1000)) ),3
),"-"))</f>
        <v/>
      </c>
      <c r="O96" s="32" t="str">
        <f>IF(ISBLANK($H96),"",IFERROR(CHOOSE(
  INT(LOG(ABS(C96),1000)) + 6,"f","p","n","µ","m","","k","M","G","T","P"
) &amp; $H96,"-"))</f>
        <v>Ohms</v>
      </c>
      <c r="P96" s="42" t="s">
        <v>151</v>
      </c>
      <c r="Q96" s="44" t="s">
        <v>151</v>
      </c>
      <c r="R96" s="19" t="s">
        <v>99</v>
      </c>
      <c r="S96" s="38" t="s">
        <v>135</v>
      </c>
      <c r="U96" s="19" t="s">
        <v>139</v>
      </c>
    </row>
    <row r="97" spans="2:19" x14ac:dyDescent="0.3">
      <c r="B97" s="29" t="s">
        <v>137</v>
      </c>
      <c r="C97" s="30">
        <v>1.2E-8</v>
      </c>
      <c r="H97" s="19" t="s">
        <v>37</v>
      </c>
      <c r="J97" s="31">
        <f t="shared" si="90"/>
        <v>12</v>
      </c>
      <c r="K97" s="31" t="str">
        <f t="shared" si="91"/>
        <v/>
      </c>
      <c r="L97" s="31" t="str">
        <f t="shared" si="92"/>
        <v/>
      </c>
      <c r="M97" s="31" t="str">
        <f t="shared" si="93"/>
        <v/>
      </c>
      <c r="N97" s="31" t="str">
        <f t="shared" si="94"/>
        <v/>
      </c>
      <c r="O97" s="32" t="str">
        <f t="shared" si="95"/>
        <v>nF</v>
      </c>
      <c r="P97" s="42" t="s">
        <v>151</v>
      </c>
      <c r="Q97" s="44" t="s">
        <v>151</v>
      </c>
      <c r="R97" s="19" t="s">
        <v>97</v>
      </c>
      <c r="S97" s="38" t="s">
        <v>115</v>
      </c>
    </row>
    <row r="98" spans="2:19" x14ac:dyDescent="0.3">
      <c r="B98" s="41" t="s">
        <v>84</v>
      </c>
      <c r="P98" s="19"/>
      <c r="Q98" s="19"/>
    </row>
    <row r="99" spans="2:19" x14ac:dyDescent="0.3">
      <c r="B99" s="29" t="s">
        <v>141</v>
      </c>
      <c r="C99" s="30"/>
      <c r="J99" s="31" t="str">
        <f t="shared" ref="J99:J102" si="101">IF(ISBLANK(C99),"",IFERROR(ROUND(C99 / (
  1000 ^ INT(LOG(ABS(C99),1000)) ),3
),"-"))</f>
        <v/>
      </c>
      <c r="K99" s="31" t="str">
        <f t="shared" ref="K99:K102" si="102">IF(ISBLANK(D99),"",IFERROR(ROUND(D99 / (
  1000 ^ INT(LOG(ABS(D99),1000)) ),3
),"-"))</f>
        <v/>
      </c>
      <c r="L99" s="31" t="str">
        <f t="shared" ref="L99:L102" si="103">IF(ISBLANK(E99),"",IFERROR(ROUND(E99 / (
  1000 ^ INT(LOG(ABS(E99),1000)) ),3
),"-"))</f>
        <v/>
      </c>
      <c r="M99" s="31" t="str">
        <f t="shared" ref="M99:M102" si="104">IF(ISBLANK(F99),"",IFERROR(ROUND(F99 / (
  1000 ^ INT(LOG(ABS(F99),1000)) ),3
),"-"))</f>
        <v/>
      </c>
      <c r="N99" s="31" t="str">
        <f t="shared" ref="N99:N102" si="105">IF(ISBLANK(G99),"",IFERROR(ROUND(G99 / (
  1000 ^ INT(LOG(ABS(G99),1000)) ),3
),"-"))</f>
        <v/>
      </c>
      <c r="O99" s="32" t="str">
        <f t="shared" ref="O99:O102" si="106">IF(ISBLANK($H99),"",IFERROR(CHOOSE(
  INT(LOG(ABS(C99),1000)) + 6,"f","p","n","µ","m","","k","M","G","T","P"
) &amp; $H99,"-"))</f>
        <v/>
      </c>
      <c r="P99" s="42" t="s">
        <v>151</v>
      </c>
      <c r="Q99" s="44" t="s">
        <v>151</v>
      </c>
      <c r="R99" s="19" t="s">
        <v>144</v>
      </c>
      <c r="S99" s="38" t="s">
        <v>145</v>
      </c>
    </row>
    <row r="100" spans="2:19" x14ac:dyDescent="0.3">
      <c r="B100" s="29" t="s">
        <v>140</v>
      </c>
      <c r="C100" s="30"/>
      <c r="J100" s="31" t="str">
        <f t="shared" si="101"/>
        <v/>
      </c>
      <c r="K100" s="31" t="str">
        <f t="shared" si="102"/>
        <v/>
      </c>
      <c r="L100" s="31" t="str">
        <f t="shared" si="103"/>
        <v/>
      </c>
      <c r="M100" s="31" t="str">
        <f t="shared" si="104"/>
        <v/>
      </c>
      <c r="N100" s="31" t="str">
        <f t="shared" si="105"/>
        <v/>
      </c>
      <c r="O100" s="32" t="str">
        <f t="shared" si="106"/>
        <v/>
      </c>
      <c r="P100" s="42" t="s">
        <v>151</v>
      </c>
      <c r="Q100" s="44" t="s">
        <v>151</v>
      </c>
      <c r="R100" s="19" t="s">
        <v>144</v>
      </c>
      <c r="S100" s="38" t="s">
        <v>145</v>
      </c>
    </row>
    <row r="101" spans="2:19" x14ac:dyDescent="0.3">
      <c r="B101" s="29" t="s">
        <v>142</v>
      </c>
      <c r="C101" s="30"/>
      <c r="J101" s="31" t="str">
        <f t="shared" si="101"/>
        <v/>
      </c>
      <c r="K101" s="31" t="str">
        <f t="shared" si="102"/>
        <v/>
      </c>
      <c r="L101" s="31" t="str">
        <f t="shared" si="103"/>
        <v/>
      </c>
      <c r="M101" s="31" t="str">
        <f t="shared" si="104"/>
        <v/>
      </c>
      <c r="N101" s="31" t="str">
        <f t="shared" si="105"/>
        <v/>
      </c>
      <c r="O101" s="32" t="str">
        <f t="shared" si="106"/>
        <v/>
      </c>
      <c r="P101" s="42" t="s">
        <v>151</v>
      </c>
      <c r="Q101" s="44" t="s">
        <v>151</v>
      </c>
      <c r="R101" s="19" t="s">
        <v>146</v>
      </c>
      <c r="S101" s="38" t="s">
        <v>147</v>
      </c>
    </row>
    <row r="102" spans="2:19" x14ac:dyDescent="0.3">
      <c r="B102" s="29" t="s">
        <v>143</v>
      </c>
      <c r="C102" s="30"/>
      <c r="J102" s="31" t="str">
        <f t="shared" si="101"/>
        <v/>
      </c>
      <c r="K102" s="31" t="str">
        <f t="shared" si="102"/>
        <v/>
      </c>
      <c r="L102" s="31" t="str">
        <f t="shared" si="103"/>
        <v/>
      </c>
      <c r="M102" s="31" t="str">
        <f t="shared" si="104"/>
        <v/>
      </c>
      <c r="N102" s="31" t="str">
        <f t="shared" si="105"/>
        <v/>
      </c>
      <c r="O102" s="32" t="str">
        <f t="shared" si="106"/>
        <v/>
      </c>
      <c r="P102" s="42" t="s">
        <v>151</v>
      </c>
      <c r="Q102" s="44" t="s">
        <v>151</v>
      </c>
      <c r="R102" s="19" t="s">
        <v>146</v>
      </c>
      <c r="S102" s="38" t="s">
        <v>147</v>
      </c>
    </row>
    <row r="103" spans="2:19" x14ac:dyDescent="0.3">
      <c r="B103" s="41" t="s">
        <v>84</v>
      </c>
      <c r="P103" s="19"/>
      <c r="Q103" s="19"/>
    </row>
    <row r="104" spans="2:19" x14ac:dyDescent="0.3">
      <c r="B104" s="29" t="s">
        <v>148</v>
      </c>
      <c r="C104" s="30"/>
      <c r="J104" s="31" t="str">
        <f t="shared" ref="J104" si="107">IF(ISBLANK(C104),"",IFERROR(ROUND(C104 / (
  1000 ^ INT(LOG(ABS(C104),1000)) ),3
),"-"))</f>
        <v/>
      </c>
      <c r="K104" s="31" t="str">
        <f t="shared" ref="K104" si="108">IF(ISBLANK(D104),"",IFERROR(ROUND(D104 / (
  1000 ^ INT(LOG(ABS(D104),1000)) ),3
),"-"))</f>
        <v/>
      </c>
      <c r="L104" s="31" t="str">
        <f t="shared" ref="L104" si="109">IF(ISBLANK(E104),"",IFERROR(ROUND(E104 / (
  1000 ^ INT(LOG(ABS(E104),1000)) ),3
),"-"))</f>
        <v/>
      </c>
      <c r="M104" s="31" t="str">
        <f t="shared" ref="M104" si="110">IF(ISBLANK(F104),"",IFERROR(ROUND(F104 / (
  1000 ^ INT(LOG(ABS(F104),1000)) ),3
),"-"))</f>
        <v/>
      </c>
      <c r="N104" s="31" t="str">
        <f t="shared" ref="N104" si="111">IF(ISBLANK(G104),"",IFERROR(ROUND(G104 / (
  1000 ^ INT(LOG(ABS(G104),1000)) ),3
),"-"))</f>
        <v/>
      </c>
      <c r="O104" s="32" t="str">
        <f t="shared" ref="O104" si="112">IF(ISBLANK($H104),"",IFERROR(CHOOSE(
  INT(LOG(ABS(C104),1000)) + 6,"f","p","n","µ","m","","k","M","G","T","P"
) &amp; $H104,"-"))</f>
        <v/>
      </c>
      <c r="P104" s="42" t="s">
        <v>151</v>
      </c>
      <c r="Q104" s="44" t="s">
        <v>151</v>
      </c>
      <c r="R104" s="19" t="s">
        <v>146</v>
      </c>
      <c r="S104" s="38" t="s">
        <v>149</v>
      </c>
    </row>
  </sheetData>
  <autoFilter ref="B2:U104" xr:uid="{2D90997A-12E2-4F6A-8EA8-4C3231C7DB40}"/>
  <mergeCells count="1">
    <mergeCell ref="J1:N1"/>
  </mergeCells>
  <hyperlinks>
    <hyperlink ref="S30" r:id="rId1" xr:uid="{537A2E23-86F7-49F6-85C4-55675062B7A1}"/>
    <hyperlink ref="S21" r:id="rId2" xr:uid="{F09E9155-1E68-447A-B67E-D30D4771FD77}"/>
    <hyperlink ref="S35" r:id="rId3" xr:uid="{A4328606-E40E-497F-BF1F-28A2213AB429}"/>
    <hyperlink ref="S37" r:id="rId4" xr:uid="{819E3BF1-ECF9-467D-A2F0-8CE8FF93B3D1}"/>
    <hyperlink ref="S42" r:id="rId5" xr:uid="{AF0C3897-FFCE-4C72-AC8B-91AEF4AAFB4F}"/>
    <hyperlink ref="S44" r:id="rId6" xr:uid="{7DBD5BA7-93B4-4E09-BA8F-BAAA9D77CA47}"/>
    <hyperlink ref="S49" r:id="rId7" xr:uid="{5F1E40D6-B1FE-4E00-9A64-6F4FC786D0D6}"/>
    <hyperlink ref="S61" r:id="rId8" xr:uid="{431EEF7C-3B49-47CE-8137-AE7AAFFFB321}"/>
    <hyperlink ref="S73" r:id="rId9" xr:uid="{ABED192D-A70A-4CB6-B67B-D08FC10CA0DB}"/>
    <hyperlink ref="S80" r:id="rId10" xr:uid="{40EF3B07-292E-4008-9B66-26CF75DA6649}"/>
    <hyperlink ref="S77" r:id="rId11" xr:uid="{49370543-F108-4FCE-BB13-D5B7029D6D10}"/>
    <hyperlink ref="S8" r:id="rId12" xr:uid="{B7C7A9DB-CC18-43FF-B629-6DDC98D0EE01}"/>
    <hyperlink ref="S10" r:id="rId13" xr:uid="{5037DC5D-DD18-44F2-A273-62BA9E262924}"/>
    <hyperlink ref="S88" r:id="rId14" xr:uid="{45C8EC98-9DDC-411D-8B35-34D062FB189A}"/>
    <hyperlink ref="S89" r:id="rId15" xr:uid="{D00DB205-5B7A-45B3-9235-D2BC6814FF31}"/>
    <hyperlink ref="S92" r:id="rId16" xr:uid="{21909AC5-0729-4F11-AF90-DC1D6511624F}"/>
    <hyperlink ref="S93" r:id="rId17" xr:uid="{641260AD-53D1-40BB-AD39-967B4E29A517}"/>
    <hyperlink ref="S90" r:id="rId18" xr:uid="{8258FCE3-DA47-46C5-BD9B-F0EBDD3016A7}"/>
    <hyperlink ref="S95" r:id="rId19" xr:uid="{B9096418-4845-4BAE-BCE0-5915D792DF8F}"/>
    <hyperlink ref="S97" r:id="rId20" xr:uid="{55EF5849-345A-4D0C-AEA1-8C30AEE9F179}"/>
    <hyperlink ref="S96" r:id="rId21" xr:uid="{112F1BB8-4432-4F29-A4C7-3EFE3C782C28}"/>
    <hyperlink ref="S99" r:id="rId22" xr:uid="{2568C58E-24E4-440D-8608-0478FDCB1963}"/>
    <hyperlink ref="S101" r:id="rId23" xr:uid="{93935F38-EB6A-46F9-8731-845F41DC5902}"/>
    <hyperlink ref="S100" r:id="rId24" xr:uid="{1EAB91D8-CF5A-48C1-A6A7-BD729EFC966A}"/>
    <hyperlink ref="S102" r:id="rId25" xr:uid="{D7AEEB68-3A60-43C3-AE98-DEE02719C4CA}"/>
    <hyperlink ref="S104" r:id="rId26" xr:uid="{05676734-C324-4F8C-BCCD-D6D0131950EE}"/>
  </hyperlinks>
  <pageMargins left="0.7" right="0.7" top="0.75" bottom="0.75" header="0.3" footer="0.3"/>
  <pageSetup paperSize="119" orientation="landscape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D3CD7-00A8-460F-8AA3-0D518132C448}">
  <dimension ref="B1:U104"/>
  <sheetViews>
    <sheetView zoomScaleNormal="100" workbookViewId="0"/>
  </sheetViews>
  <sheetFormatPr defaultColWidth="8.88671875" defaultRowHeight="14.4" x14ac:dyDescent="0.3"/>
  <cols>
    <col min="1" max="1" width="8.88671875" style="19"/>
    <col min="2" max="2" width="20.6640625" style="24" bestFit="1" customWidth="1"/>
    <col min="3" max="10" width="12.77734375" style="19" customWidth="1"/>
    <col min="11" max="14" width="12.77734375" style="19" hidden="1" customWidth="1"/>
    <col min="15" max="15" width="12.77734375" style="19" customWidth="1"/>
    <col min="16" max="17" width="10.109375" style="42" bestFit="1" customWidth="1"/>
    <col min="18" max="18" width="20.6640625" style="19" bestFit="1" customWidth="1"/>
    <col min="19" max="19" width="22" style="19" bestFit="1" customWidth="1"/>
    <col min="20" max="20" width="16.88671875" style="19" bestFit="1" customWidth="1"/>
    <col min="21" max="16384" width="8.88671875" style="19"/>
  </cols>
  <sheetData>
    <row r="1" spans="2:21" x14ac:dyDescent="0.3">
      <c r="J1" s="46" t="s">
        <v>8</v>
      </c>
      <c r="K1" s="46"/>
      <c r="L1" s="46"/>
      <c r="M1" s="46"/>
      <c r="N1" s="46"/>
    </row>
    <row r="2" spans="2:21" x14ac:dyDescent="0.3">
      <c r="B2" s="21" t="s">
        <v>150</v>
      </c>
      <c r="C2" s="43" t="s">
        <v>22</v>
      </c>
      <c r="D2" s="43" t="s">
        <v>23</v>
      </c>
      <c r="E2" s="43" t="s">
        <v>82</v>
      </c>
      <c r="F2" s="43" t="s">
        <v>83</v>
      </c>
      <c r="G2" s="43" t="s">
        <v>24</v>
      </c>
      <c r="H2" s="43" t="s">
        <v>9</v>
      </c>
      <c r="J2" s="21" t="s">
        <v>22</v>
      </c>
      <c r="K2" s="21" t="s">
        <v>23</v>
      </c>
      <c r="L2" s="21" t="s">
        <v>82</v>
      </c>
      <c r="M2" s="21" t="s">
        <v>83</v>
      </c>
      <c r="N2" s="21" t="s">
        <v>24</v>
      </c>
      <c r="O2" s="22" t="s">
        <v>9</v>
      </c>
      <c r="P2" s="43" t="s">
        <v>152</v>
      </c>
      <c r="Q2" s="43" t="s">
        <v>22</v>
      </c>
      <c r="R2" s="23" t="s">
        <v>87</v>
      </c>
      <c r="S2" s="23" t="s">
        <v>88</v>
      </c>
      <c r="T2" s="23" t="s">
        <v>153</v>
      </c>
      <c r="U2" s="23" t="s">
        <v>15</v>
      </c>
    </row>
    <row r="3" spans="2:21" x14ac:dyDescent="0.3">
      <c r="B3" s="24" t="s">
        <v>21</v>
      </c>
      <c r="C3" s="28">
        <f>MAX(D3:G3)</f>
        <v>52</v>
      </c>
      <c r="D3" s="25">
        <v>20</v>
      </c>
      <c r="E3" s="25">
        <v>24</v>
      </c>
      <c r="F3" s="25">
        <v>36</v>
      </c>
      <c r="G3" s="25">
        <v>52</v>
      </c>
      <c r="H3" s="19" t="s">
        <v>0</v>
      </c>
      <c r="J3" s="26">
        <f>IF(ISBLANK(C3),"",IFERROR(ROUND(C3 / (
  1000 ^ INT(LOG(ABS(C3),1000)) ),3
),"-"))</f>
        <v>52</v>
      </c>
      <c r="K3" s="26">
        <f>IF(ISBLANK(D3),"",IFERROR(ROUND(D3 / (
  1000 ^ INT(LOG(ABS(D3),1000)) ),3
),"-"))</f>
        <v>20</v>
      </c>
      <c r="L3" s="26">
        <f>IF(ISBLANK(E3),"",IFERROR(ROUND(E3 / (
  1000 ^ INT(LOG(ABS(E3),1000)) ),3
),"-"))</f>
        <v>24</v>
      </c>
      <c r="M3" s="26">
        <f>IF(ISBLANK(F3),"",IFERROR(ROUND(F3 / (
  1000 ^ INT(LOG(ABS(F3),1000)) ),3
),"-"))</f>
        <v>36</v>
      </c>
      <c r="N3" s="26">
        <f>IF(ISBLANK(G3),"",IFERROR(ROUND(G3 / (
  1000 ^ INT(LOG(ABS(G3),1000)) ),3
),"-"))</f>
        <v>52</v>
      </c>
      <c r="O3" s="27" t="str">
        <f>IF(ISBLANK($H3),"",IFERROR(CHOOSE(
  INT(LOG(ABS(C5),1000)) + 6,"f","p","n","µ","m","","k","M","G","T","P"
) &amp; $H3,"-"))</f>
        <v>V</v>
      </c>
      <c r="P3" s="19"/>
      <c r="Q3" s="19"/>
    </row>
    <row r="4" spans="2:21" x14ac:dyDescent="0.3">
      <c r="B4" s="24" t="s">
        <v>20</v>
      </c>
      <c r="C4" s="28">
        <f>MIN(D3:G3)</f>
        <v>20</v>
      </c>
      <c r="H4" s="19" t="s">
        <v>0</v>
      </c>
      <c r="J4" s="26">
        <f>IF(ISBLANK(C4),"",IFERROR(ROUND(C4 / (
  1000 ^ INT(LOG(ABS(C4),1000)) ),3
),"-"))</f>
        <v>20</v>
      </c>
      <c r="K4" s="26" t="str">
        <f t="shared" ref="K4:N19" si="0">IF(ISBLANK(D4),"",IFERROR(ROUND(D4 / (
  1000 ^ INT(LOG(ABS(D4),1000)) ),3
),"-"))</f>
        <v/>
      </c>
      <c r="L4" s="26" t="str">
        <f t="shared" si="0"/>
        <v/>
      </c>
      <c r="M4" s="26" t="str">
        <f t="shared" si="0"/>
        <v/>
      </c>
      <c r="N4" s="26" t="str">
        <f t="shared" si="0"/>
        <v/>
      </c>
      <c r="O4" s="27" t="str">
        <f>IF(ISBLANK($H4),"",IFERROR(CHOOSE(
  INT(LOG(ABS(C4),1000)) + 6,"f","p","n","µ","m","","k","M","G","T","P"
) &amp; $H4,"-"))</f>
        <v>V</v>
      </c>
      <c r="P4" s="19"/>
      <c r="Q4" s="19"/>
    </row>
    <row r="5" spans="2:21" x14ac:dyDescent="0.3">
      <c r="B5" s="24" t="s">
        <v>10</v>
      </c>
      <c r="C5" s="25">
        <v>5</v>
      </c>
      <c r="H5" s="19" t="s">
        <v>1</v>
      </c>
      <c r="J5" s="26">
        <f t="shared" ref="J5:N20" si="1">IF(ISBLANK(C5),"",IFERROR(ROUND(C5 / (
  1000 ^ INT(LOG(ABS(C5),1000)) ),3
),"-"))</f>
        <v>5</v>
      </c>
      <c r="K5" s="26" t="str">
        <f t="shared" si="0"/>
        <v/>
      </c>
      <c r="L5" s="26" t="str">
        <f t="shared" si="0"/>
        <v/>
      </c>
      <c r="M5" s="26" t="str">
        <f t="shared" si="0"/>
        <v/>
      </c>
      <c r="N5" s="26" t="str">
        <f t="shared" si="0"/>
        <v/>
      </c>
      <c r="O5" s="27" t="str">
        <f t="shared" ref="O5:O81" si="2">IF(ISBLANK($H5),"",IFERROR(CHOOSE(
  INT(LOG(ABS(C5),1000)) + 6,"f","p","n","µ","m","","k","M","G","T","P"
) &amp; $H5,"-"))</f>
        <v>A</v>
      </c>
      <c r="P5" s="19"/>
      <c r="Q5" s="19"/>
    </row>
    <row r="6" spans="2:21" x14ac:dyDescent="0.3">
      <c r="B6" s="41" t="s">
        <v>84</v>
      </c>
      <c r="J6" s="26" t="str">
        <f t="shared" si="1"/>
        <v/>
      </c>
      <c r="K6" s="26" t="str">
        <f t="shared" si="0"/>
        <v/>
      </c>
      <c r="L6" s="26" t="str">
        <f t="shared" si="0"/>
        <v/>
      </c>
      <c r="M6" s="26" t="str">
        <f t="shared" si="0"/>
        <v/>
      </c>
      <c r="N6" s="26" t="str">
        <f t="shared" si="0"/>
        <v/>
      </c>
      <c r="O6" s="27" t="str">
        <f t="shared" si="2"/>
        <v/>
      </c>
      <c r="P6" s="19"/>
      <c r="Q6" s="19"/>
    </row>
    <row r="7" spans="2:21" x14ac:dyDescent="0.3">
      <c r="B7" s="24" t="s">
        <v>60</v>
      </c>
      <c r="C7" s="25">
        <v>5</v>
      </c>
      <c r="H7" s="19" t="s">
        <v>0</v>
      </c>
      <c r="J7" s="26">
        <f t="shared" si="1"/>
        <v>5</v>
      </c>
      <c r="K7" s="26" t="str">
        <f t="shared" si="0"/>
        <v/>
      </c>
      <c r="L7" s="26" t="str">
        <f t="shared" si="0"/>
        <v/>
      </c>
      <c r="M7" s="26" t="str">
        <f t="shared" si="0"/>
        <v/>
      </c>
      <c r="N7" s="26" t="str">
        <f t="shared" si="0"/>
        <v/>
      </c>
      <c r="O7" s="27" t="str">
        <f t="shared" si="2"/>
        <v>V</v>
      </c>
      <c r="P7" s="19"/>
      <c r="Q7" s="19"/>
    </row>
    <row r="8" spans="2:21" x14ac:dyDescent="0.3">
      <c r="B8" s="29" t="s">
        <v>61</v>
      </c>
      <c r="C8" s="30">
        <v>4990</v>
      </c>
      <c r="H8" s="19" t="s">
        <v>11</v>
      </c>
      <c r="J8" s="31">
        <f t="shared" si="1"/>
        <v>4.99</v>
      </c>
      <c r="K8" s="31" t="str">
        <f t="shared" si="0"/>
        <v/>
      </c>
      <c r="L8" s="31" t="str">
        <f t="shared" si="0"/>
        <v/>
      </c>
      <c r="M8" s="31" t="str">
        <f t="shared" si="0"/>
        <v/>
      </c>
      <c r="N8" s="31" t="str">
        <f t="shared" si="0"/>
        <v/>
      </c>
      <c r="O8" s="32" t="str">
        <f t="shared" si="2"/>
        <v>kOhms</v>
      </c>
      <c r="P8" s="42" t="s">
        <v>151</v>
      </c>
      <c r="Q8" s="44" t="s">
        <v>151</v>
      </c>
      <c r="R8" s="19" t="s">
        <v>99</v>
      </c>
      <c r="S8" s="38" t="s">
        <v>123</v>
      </c>
      <c r="T8" s="19" t="s">
        <v>154</v>
      </c>
    </row>
    <row r="9" spans="2:21" x14ac:dyDescent="0.3">
      <c r="B9" s="29" t="s">
        <v>62</v>
      </c>
      <c r="C9" s="33">
        <f>$C$8/($C$7/0.8-1)</f>
        <v>950.47619047619048</v>
      </c>
      <c r="H9" s="19" t="s">
        <v>11</v>
      </c>
      <c r="J9" s="26">
        <f t="shared" si="1"/>
        <v>950.476</v>
      </c>
      <c r="K9" s="26" t="str">
        <f t="shared" si="0"/>
        <v/>
      </c>
      <c r="L9" s="26" t="str">
        <f t="shared" si="0"/>
        <v/>
      </c>
      <c r="M9" s="26" t="str">
        <f t="shared" si="0"/>
        <v/>
      </c>
      <c r="N9" s="26" t="str">
        <f t="shared" si="0"/>
        <v/>
      </c>
      <c r="O9" s="27" t="str">
        <f t="shared" si="2"/>
        <v>Ohms</v>
      </c>
      <c r="P9" s="19"/>
      <c r="Q9" s="19"/>
    </row>
    <row r="10" spans="2:21" ht="15" thickBot="1" x14ac:dyDescent="0.35">
      <c r="B10" s="29" t="s">
        <v>63</v>
      </c>
      <c r="C10" s="25">
        <v>953</v>
      </c>
      <c r="H10" s="19" t="s">
        <v>11</v>
      </c>
      <c r="J10" s="31">
        <f t="shared" si="1"/>
        <v>953</v>
      </c>
      <c r="K10" s="31" t="str">
        <f t="shared" si="0"/>
        <v/>
      </c>
      <c r="L10" s="31" t="str">
        <f t="shared" si="0"/>
        <v/>
      </c>
      <c r="M10" s="31" t="str">
        <f t="shared" si="0"/>
        <v/>
      </c>
      <c r="N10" s="31" t="str">
        <f t="shared" si="0"/>
        <v/>
      </c>
      <c r="O10" s="32" t="str">
        <f t="shared" si="2"/>
        <v>Ohms</v>
      </c>
      <c r="P10" s="42" t="s">
        <v>151</v>
      </c>
      <c r="Q10" s="44" t="s">
        <v>151</v>
      </c>
      <c r="R10" s="19" t="s">
        <v>99</v>
      </c>
      <c r="S10" s="38" t="s">
        <v>124</v>
      </c>
    </row>
    <row r="11" spans="2:21" ht="15.6" thickTop="1" thickBot="1" x14ac:dyDescent="0.35">
      <c r="B11" s="29" t="s">
        <v>64</v>
      </c>
      <c r="C11" s="34">
        <f>0.8*($C$8/$C$10+1)</f>
        <v>4.9888772298006296</v>
      </c>
      <c r="H11" s="19" t="s">
        <v>0</v>
      </c>
      <c r="J11" s="26">
        <f t="shared" si="1"/>
        <v>4.9889999999999999</v>
      </c>
      <c r="K11" s="26" t="str">
        <f t="shared" si="0"/>
        <v/>
      </c>
      <c r="L11" s="26" t="str">
        <f t="shared" si="0"/>
        <v/>
      </c>
      <c r="M11" s="26" t="str">
        <f t="shared" si="0"/>
        <v/>
      </c>
      <c r="N11" s="26" t="str">
        <f t="shared" si="0"/>
        <v/>
      </c>
      <c r="O11" s="27" t="str">
        <f t="shared" si="2"/>
        <v>V</v>
      </c>
      <c r="P11" s="19"/>
      <c r="Q11" s="19"/>
    </row>
    <row r="12" spans="2:21" ht="15" thickTop="1" x14ac:dyDescent="0.3">
      <c r="B12" s="41" t="s">
        <v>84</v>
      </c>
      <c r="J12" s="19" t="str">
        <f t="shared" si="1"/>
        <v/>
      </c>
      <c r="K12" s="19" t="str">
        <f t="shared" si="0"/>
        <v/>
      </c>
      <c r="L12" s="19" t="str">
        <f t="shared" si="0"/>
        <v/>
      </c>
      <c r="M12" s="19" t="str">
        <f t="shared" si="0"/>
        <v/>
      </c>
      <c r="N12" s="19" t="str">
        <f t="shared" si="0"/>
        <v/>
      </c>
      <c r="O12" s="19" t="str">
        <f t="shared" si="2"/>
        <v/>
      </c>
      <c r="P12" s="19"/>
      <c r="Q12" s="19"/>
    </row>
    <row r="13" spans="2:21" x14ac:dyDescent="0.3">
      <c r="B13" s="24" t="s">
        <v>2</v>
      </c>
      <c r="C13" s="30">
        <v>450000</v>
      </c>
      <c r="H13" s="19" t="s">
        <v>3</v>
      </c>
      <c r="J13" s="26">
        <f t="shared" si="1"/>
        <v>450</v>
      </c>
      <c r="K13" s="26" t="str">
        <f t="shared" si="0"/>
        <v/>
      </c>
      <c r="L13" s="26" t="str">
        <f t="shared" si="0"/>
        <v/>
      </c>
      <c r="M13" s="26" t="str">
        <f t="shared" si="0"/>
        <v/>
      </c>
      <c r="N13" s="26" t="str">
        <f t="shared" si="0"/>
        <v/>
      </c>
      <c r="O13" s="27" t="str">
        <f t="shared" si="2"/>
        <v>kHz</v>
      </c>
      <c r="P13" s="19"/>
      <c r="Q13" s="19"/>
      <c r="U13" s="19" t="s">
        <v>85</v>
      </c>
    </row>
    <row r="14" spans="2:21" x14ac:dyDescent="0.3">
      <c r="B14" s="24" t="s">
        <v>4</v>
      </c>
      <c r="C14" s="33">
        <f>5200000000/C13 - 948</f>
        <v>10607.555555555555</v>
      </c>
      <c r="H14" s="19" t="s">
        <v>11</v>
      </c>
      <c r="J14" s="26">
        <f t="shared" si="1"/>
        <v>10.608000000000001</v>
      </c>
      <c r="K14" s="26" t="str">
        <f t="shared" si="0"/>
        <v/>
      </c>
      <c r="L14" s="26" t="str">
        <f t="shared" si="0"/>
        <v/>
      </c>
      <c r="M14" s="26" t="str">
        <f t="shared" si="0"/>
        <v/>
      </c>
      <c r="N14" s="26" t="str">
        <f t="shared" si="0"/>
        <v/>
      </c>
      <c r="O14" s="27" t="str">
        <f t="shared" si="2"/>
        <v>kOhms</v>
      </c>
      <c r="P14" s="19"/>
      <c r="Q14" s="19"/>
    </row>
    <row r="15" spans="2:21" ht="15" thickBot="1" x14ac:dyDescent="0.35">
      <c r="B15" s="24" t="s">
        <v>6</v>
      </c>
      <c r="C15" s="30">
        <v>10500</v>
      </c>
      <c r="H15" s="19" t="s">
        <v>11</v>
      </c>
      <c r="J15" s="31">
        <f t="shared" si="1"/>
        <v>10.5</v>
      </c>
      <c r="K15" s="31" t="str">
        <f t="shared" si="0"/>
        <v/>
      </c>
      <c r="L15" s="31" t="str">
        <f t="shared" si="0"/>
        <v/>
      </c>
      <c r="M15" s="31" t="str">
        <f t="shared" si="0"/>
        <v/>
      </c>
      <c r="N15" s="31" t="str">
        <f t="shared" si="0"/>
        <v/>
      </c>
      <c r="O15" s="32" t="str">
        <f t="shared" si="2"/>
        <v>kOhms</v>
      </c>
      <c r="P15" s="19"/>
      <c r="Q15" s="19"/>
    </row>
    <row r="16" spans="2:21" ht="15.6" thickTop="1" thickBot="1" x14ac:dyDescent="0.35">
      <c r="B16" s="24" t="s">
        <v>7</v>
      </c>
      <c r="C16" s="34">
        <f>5200000000/(C15+948)</f>
        <v>454227.81271837873</v>
      </c>
      <c r="H16" s="19" t="s">
        <v>3</v>
      </c>
      <c r="J16" s="26">
        <f t="shared" si="1"/>
        <v>454.22800000000001</v>
      </c>
      <c r="K16" s="26" t="str">
        <f t="shared" si="0"/>
        <v/>
      </c>
      <c r="L16" s="26" t="str">
        <f t="shared" si="0"/>
        <v/>
      </c>
      <c r="M16" s="26" t="str">
        <f t="shared" si="0"/>
        <v/>
      </c>
      <c r="N16" s="26" t="str">
        <f t="shared" si="0"/>
        <v/>
      </c>
      <c r="O16" s="27" t="str">
        <f t="shared" si="2"/>
        <v>kHz</v>
      </c>
      <c r="P16" s="19"/>
      <c r="Q16" s="19"/>
    </row>
    <row r="17" spans="2:21" ht="15" thickTop="1" x14ac:dyDescent="0.3">
      <c r="B17" s="41" t="s">
        <v>84</v>
      </c>
      <c r="J17" s="19" t="str">
        <f t="shared" si="1"/>
        <v/>
      </c>
      <c r="K17" s="19" t="str">
        <f t="shared" si="0"/>
        <v/>
      </c>
      <c r="L17" s="19" t="str">
        <f t="shared" si="0"/>
        <v/>
      </c>
      <c r="M17" s="19" t="str">
        <f t="shared" si="0"/>
        <v/>
      </c>
      <c r="N17" s="19" t="str">
        <f t="shared" si="0"/>
        <v/>
      </c>
      <c r="O17" s="19" t="str">
        <f t="shared" si="2"/>
        <v/>
      </c>
      <c r="P17" s="19"/>
      <c r="Q17" s="19"/>
    </row>
    <row r="18" spans="2:21" x14ac:dyDescent="0.3">
      <c r="B18" s="24" t="s">
        <v>19</v>
      </c>
      <c r="C18" s="35">
        <v>0.4</v>
      </c>
      <c r="H18" s="19" t="s">
        <v>84</v>
      </c>
      <c r="J18" s="26">
        <f t="shared" si="1"/>
        <v>400</v>
      </c>
      <c r="K18" s="26" t="str">
        <f t="shared" si="0"/>
        <v/>
      </c>
      <c r="L18" s="26" t="str">
        <f t="shared" si="0"/>
        <v/>
      </c>
      <c r="M18" s="26" t="str">
        <f t="shared" si="0"/>
        <v/>
      </c>
      <c r="N18" s="26" t="str">
        <f t="shared" si="0"/>
        <v/>
      </c>
      <c r="O18" s="27" t="str">
        <f t="shared" si="2"/>
        <v>m-</v>
      </c>
      <c r="P18" s="19"/>
      <c r="Q18" s="19"/>
    </row>
    <row r="19" spans="2:21" x14ac:dyDescent="0.3">
      <c r="B19" s="24" t="s">
        <v>12</v>
      </c>
      <c r="C19" s="28">
        <f>$C$5*$C$18</f>
        <v>2</v>
      </c>
      <c r="H19" s="19" t="s">
        <v>1</v>
      </c>
      <c r="J19" s="26">
        <f t="shared" si="1"/>
        <v>2</v>
      </c>
      <c r="K19" s="26" t="str">
        <f t="shared" si="0"/>
        <v/>
      </c>
      <c r="L19" s="26" t="str">
        <f t="shared" si="0"/>
        <v/>
      </c>
      <c r="M19" s="26" t="str">
        <f t="shared" si="0"/>
        <v/>
      </c>
      <c r="N19" s="26" t="str">
        <f t="shared" si="0"/>
        <v/>
      </c>
      <c r="O19" s="27" t="str">
        <f t="shared" si="2"/>
        <v>A</v>
      </c>
      <c r="P19" s="19"/>
      <c r="Q19" s="19"/>
    </row>
    <row r="20" spans="2:21" x14ac:dyDescent="0.3">
      <c r="B20" s="24" t="s">
        <v>13</v>
      </c>
      <c r="C20" s="33">
        <f>($C$7/($C$5*$C$18*$C$16))*(1-$C$7/$C$3)</f>
        <v>4.974630177514793E-6</v>
      </c>
      <c r="H20" s="19" t="s">
        <v>14</v>
      </c>
      <c r="J20" s="26">
        <f t="shared" si="1"/>
        <v>4.9749999999999996</v>
      </c>
      <c r="K20" s="26" t="str">
        <f t="shared" si="1"/>
        <v/>
      </c>
      <c r="L20" s="26" t="str">
        <f t="shared" si="1"/>
        <v/>
      </c>
      <c r="M20" s="26" t="str">
        <f t="shared" si="1"/>
        <v/>
      </c>
      <c r="N20" s="26" t="str">
        <f t="shared" si="1"/>
        <v/>
      </c>
      <c r="O20" s="27" t="str">
        <f t="shared" si="2"/>
        <v>µH</v>
      </c>
      <c r="P20" s="19"/>
      <c r="Q20" s="19"/>
    </row>
    <row r="21" spans="2:21" x14ac:dyDescent="0.3">
      <c r="B21" s="24" t="s">
        <v>17</v>
      </c>
      <c r="C21" s="30">
        <v>1.5E-5</v>
      </c>
      <c r="H21" s="19" t="s">
        <v>14</v>
      </c>
      <c r="J21" s="31">
        <f t="shared" ref="J21:N71" si="3">IF(ISBLANK(C21),"",IFERROR(ROUND(C21 / (
  1000 ^ INT(LOG(ABS(C21),1000)) ),3
),"-"))</f>
        <v>15</v>
      </c>
      <c r="K21" s="31" t="str">
        <f t="shared" si="3"/>
        <v/>
      </c>
      <c r="L21" s="31" t="str">
        <f t="shared" si="3"/>
        <v/>
      </c>
      <c r="M21" s="31" t="str">
        <f t="shared" si="3"/>
        <v/>
      </c>
      <c r="N21" s="31" t="str">
        <f t="shared" si="3"/>
        <v/>
      </c>
      <c r="O21" s="32" t="str">
        <f t="shared" si="2"/>
        <v>µH</v>
      </c>
      <c r="P21" s="42" t="s">
        <v>151</v>
      </c>
      <c r="Q21" s="42" t="s">
        <v>151</v>
      </c>
      <c r="R21" s="19" t="s">
        <v>95</v>
      </c>
      <c r="S21" s="38" t="s">
        <v>118</v>
      </c>
    </row>
    <row r="22" spans="2:21" x14ac:dyDescent="0.3">
      <c r="B22" s="24" t="s">
        <v>93</v>
      </c>
      <c r="C22" s="30">
        <v>14</v>
      </c>
      <c r="H22" s="19" t="s">
        <v>1</v>
      </c>
      <c r="J22" s="31">
        <f t="shared" si="3"/>
        <v>14</v>
      </c>
      <c r="K22" s="31" t="str">
        <f t="shared" si="3"/>
        <v/>
      </c>
      <c r="L22" s="31" t="str">
        <f t="shared" si="3"/>
        <v/>
      </c>
      <c r="M22" s="31" t="str">
        <f t="shared" si="3"/>
        <v/>
      </c>
      <c r="N22" s="31" t="str">
        <f t="shared" si="3"/>
        <v/>
      </c>
      <c r="O22" s="32" t="str">
        <f t="shared" si="2"/>
        <v>A</v>
      </c>
      <c r="P22" s="19"/>
      <c r="Q22" s="19"/>
    </row>
    <row r="23" spans="2:21" ht="15" thickBot="1" x14ac:dyDescent="0.35">
      <c r="B23" s="24" t="s">
        <v>94</v>
      </c>
      <c r="C23" s="30">
        <v>1.0200000000000001E-2</v>
      </c>
      <c r="H23" s="19" t="s">
        <v>11</v>
      </c>
      <c r="J23" s="31">
        <f t="shared" si="3"/>
        <v>10.199999999999999</v>
      </c>
      <c r="K23" s="31" t="str">
        <f t="shared" si="3"/>
        <v/>
      </c>
      <c r="L23" s="31" t="str">
        <f t="shared" si="3"/>
        <v/>
      </c>
      <c r="M23" s="31" t="str">
        <f t="shared" si="3"/>
        <v/>
      </c>
      <c r="N23" s="31" t="str">
        <f t="shared" si="3"/>
        <v/>
      </c>
      <c r="O23" s="32" t="str">
        <f t="shared" si="2"/>
        <v>mOhms</v>
      </c>
      <c r="P23" s="19"/>
      <c r="Q23" s="19"/>
    </row>
    <row r="24" spans="2:21" ht="15.6" thickTop="1" thickBot="1" x14ac:dyDescent="0.35">
      <c r="B24" s="24" t="s">
        <v>18</v>
      </c>
      <c r="C24" s="34">
        <f>($C$7/($C$21*$C$13))*(1-$C$7/$C$3)</f>
        <v>0.66951566951566943</v>
      </c>
      <c r="D24" s="34">
        <f>($C$7/($C$21*$C$13))*(1-$C$7/D3)</f>
        <v>0.55555555555555558</v>
      </c>
      <c r="E24" s="34">
        <f>($C$7/($C$21*$C$13))*(1-$C$7/E3)</f>
        <v>0.58641975308641969</v>
      </c>
      <c r="F24" s="34">
        <f>($C$7/($C$21*$C$13))*(1-$C$7/F3)</f>
        <v>0.63786008230452673</v>
      </c>
      <c r="G24" s="34">
        <f>($C$7/($C$21*$C$13))*(1-$C$7/G3)</f>
        <v>0.66951566951566943</v>
      </c>
      <c r="H24" s="19" t="s">
        <v>1</v>
      </c>
      <c r="J24" s="26">
        <f t="shared" si="3"/>
        <v>669.51599999999996</v>
      </c>
      <c r="K24" s="26">
        <f t="shared" si="3"/>
        <v>555.55600000000004</v>
      </c>
      <c r="L24" s="26">
        <f t="shared" si="3"/>
        <v>586.41999999999996</v>
      </c>
      <c r="M24" s="26">
        <f t="shared" si="3"/>
        <v>637.86</v>
      </c>
      <c r="N24" s="26">
        <f t="shared" si="3"/>
        <v>669.51599999999996</v>
      </c>
      <c r="O24" s="27" t="str">
        <f t="shared" si="2"/>
        <v>mA</v>
      </c>
      <c r="P24" s="19"/>
      <c r="Q24" s="19"/>
    </row>
    <row r="25" spans="2:21" ht="15.6" thickTop="1" thickBot="1" x14ac:dyDescent="0.35">
      <c r="B25" s="24" t="s">
        <v>86</v>
      </c>
      <c r="C25" s="34">
        <f>$C$5+C24/2</f>
        <v>5.334757834757835</v>
      </c>
      <c r="D25" s="34">
        <f t="shared" ref="D25:G25" si="4">$C$5+D24/2</f>
        <v>5.2777777777777777</v>
      </c>
      <c r="E25" s="34">
        <f t="shared" si="4"/>
        <v>5.2932098765432096</v>
      </c>
      <c r="F25" s="34">
        <f t="shared" si="4"/>
        <v>5.3189300411522638</v>
      </c>
      <c r="G25" s="34">
        <f t="shared" si="4"/>
        <v>5.334757834757835</v>
      </c>
      <c r="H25" s="19" t="s">
        <v>1</v>
      </c>
      <c r="J25" s="26">
        <f t="shared" si="3"/>
        <v>5.335</v>
      </c>
      <c r="K25" s="26">
        <f t="shared" si="3"/>
        <v>5.2779999999999996</v>
      </c>
      <c r="L25" s="26">
        <f t="shared" si="3"/>
        <v>5.2930000000000001</v>
      </c>
      <c r="M25" s="26">
        <f t="shared" si="3"/>
        <v>5.319</v>
      </c>
      <c r="N25" s="26">
        <f t="shared" si="3"/>
        <v>5.335</v>
      </c>
      <c r="O25" s="27" t="str">
        <f t="shared" si="2"/>
        <v>A</v>
      </c>
      <c r="P25" s="19"/>
      <c r="Q25" s="19"/>
    </row>
    <row r="26" spans="2:21" ht="15" thickTop="1" x14ac:dyDescent="0.3">
      <c r="B26" s="41" t="s">
        <v>84</v>
      </c>
      <c r="J26" s="19" t="str">
        <f t="shared" si="3"/>
        <v/>
      </c>
      <c r="K26" s="19" t="str">
        <f t="shared" si="3"/>
        <v/>
      </c>
      <c r="L26" s="19" t="str">
        <f t="shared" si="3"/>
        <v/>
      </c>
      <c r="M26" s="19" t="str">
        <f t="shared" si="3"/>
        <v/>
      </c>
      <c r="N26" s="19" t="str">
        <f t="shared" si="3"/>
        <v/>
      </c>
      <c r="O26" s="19" t="str">
        <f t="shared" si="2"/>
        <v/>
      </c>
      <c r="P26" s="19"/>
      <c r="Q26" s="19"/>
    </row>
    <row r="27" spans="2:21" x14ac:dyDescent="0.3">
      <c r="B27" s="29" t="s">
        <v>26</v>
      </c>
      <c r="C27" s="35">
        <v>1.3</v>
      </c>
      <c r="J27" s="26">
        <f t="shared" si="3"/>
        <v>1.3</v>
      </c>
      <c r="K27" s="26" t="str">
        <f t="shared" si="3"/>
        <v/>
      </c>
      <c r="L27" s="26" t="str">
        <f t="shared" si="3"/>
        <v/>
      </c>
      <c r="M27" s="26" t="str">
        <f t="shared" si="3"/>
        <v/>
      </c>
      <c r="N27" s="26" t="str">
        <f t="shared" si="3"/>
        <v/>
      </c>
      <c r="O27" s="27" t="str">
        <f t="shared" si="2"/>
        <v/>
      </c>
      <c r="P27" s="19"/>
      <c r="Q27" s="19"/>
    </row>
    <row r="28" spans="2:21" x14ac:dyDescent="0.3">
      <c r="B28" s="29" t="s">
        <v>29</v>
      </c>
      <c r="C28" s="33">
        <f>$C$5*$C$27</f>
        <v>6.5</v>
      </c>
      <c r="H28" s="19" t="s">
        <v>1</v>
      </c>
      <c r="J28" s="26">
        <f t="shared" si="3"/>
        <v>6.5</v>
      </c>
      <c r="K28" s="26" t="str">
        <f t="shared" si="3"/>
        <v/>
      </c>
      <c r="L28" s="26" t="str">
        <f t="shared" si="3"/>
        <v/>
      </c>
      <c r="M28" s="26" t="str">
        <f t="shared" si="3"/>
        <v/>
      </c>
      <c r="N28" s="26" t="str">
        <f t="shared" si="3"/>
        <v/>
      </c>
      <c r="O28" s="27" t="str">
        <f t="shared" si="2"/>
        <v>A</v>
      </c>
      <c r="P28" s="19"/>
      <c r="Q28" s="19"/>
    </row>
    <row r="29" spans="2:21" x14ac:dyDescent="0.3">
      <c r="B29" s="29" t="s">
        <v>27</v>
      </c>
      <c r="C29" s="33">
        <f>0.12/(($C$5*$C$27)+(($C$7*1)/($C$13*$C$21))-($D$24/2))</f>
        <v>1.7234042553191491E-2</v>
      </c>
      <c r="H29" s="19" t="s">
        <v>11</v>
      </c>
      <c r="J29" s="26">
        <f t="shared" si="3"/>
        <v>17.234000000000002</v>
      </c>
      <c r="K29" s="26" t="str">
        <f t="shared" si="3"/>
        <v/>
      </c>
      <c r="L29" s="26" t="str">
        <f t="shared" si="3"/>
        <v/>
      </c>
      <c r="M29" s="26" t="str">
        <f t="shared" si="3"/>
        <v/>
      </c>
      <c r="N29" s="26" t="str">
        <f t="shared" si="3"/>
        <v/>
      </c>
      <c r="O29" s="27" t="str">
        <f t="shared" si="2"/>
        <v>mOhms</v>
      </c>
      <c r="P29" s="19"/>
      <c r="Q29" s="19"/>
      <c r="U29" s="19" t="s">
        <v>28</v>
      </c>
    </row>
    <row r="30" spans="2:21" x14ac:dyDescent="0.3">
      <c r="B30" s="29" t="s">
        <v>30</v>
      </c>
      <c r="C30" s="30">
        <v>1.4999999999999999E-2</v>
      </c>
      <c r="H30" s="19" t="s">
        <v>11</v>
      </c>
      <c r="J30" s="31">
        <f t="shared" si="3"/>
        <v>15</v>
      </c>
      <c r="K30" s="31" t="str">
        <f t="shared" si="3"/>
        <v/>
      </c>
      <c r="L30" s="31" t="str">
        <f t="shared" si="3"/>
        <v/>
      </c>
      <c r="M30" s="31" t="str">
        <f t="shared" si="3"/>
        <v/>
      </c>
      <c r="N30" s="31" t="str">
        <f t="shared" si="3"/>
        <v/>
      </c>
      <c r="O30" s="32" t="str">
        <f t="shared" si="2"/>
        <v>mOhms</v>
      </c>
      <c r="P30" s="42" t="s">
        <v>151</v>
      </c>
      <c r="Q30" s="44" t="s">
        <v>151</v>
      </c>
      <c r="R30" s="19" t="s">
        <v>89</v>
      </c>
      <c r="S30" s="38" t="s">
        <v>119</v>
      </c>
    </row>
    <row r="31" spans="2:21" ht="15" thickBot="1" x14ac:dyDescent="0.35">
      <c r="B31" s="29" t="s">
        <v>91</v>
      </c>
      <c r="C31" s="30">
        <v>1</v>
      </c>
      <c r="H31" s="19" t="s">
        <v>35</v>
      </c>
      <c r="J31" s="31">
        <f t="shared" si="3"/>
        <v>1</v>
      </c>
      <c r="K31" s="31" t="str">
        <f t="shared" si="3"/>
        <v/>
      </c>
      <c r="L31" s="31" t="str">
        <f t="shared" si="3"/>
        <v/>
      </c>
      <c r="M31" s="31" t="str">
        <f t="shared" si="3"/>
        <v/>
      </c>
      <c r="N31" s="31" t="str">
        <f t="shared" si="3"/>
        <v/>
      </c>
      <c r="O31" s="32" t="str">
        <f t="shared" si="2"/>
        <v>W</v>
      </c>
      <c r="P31" s="19"/>
      <c r="Q31" s="19"/>
      <c r="S31" s="38"/>
    </row>
    <row r="32" spans="2:21" ht="15.6" thickTop="1" thickBot="1" x14ac:dyDescent="0.35">
      <c r="B32" s="29" t="s">
        <v>92</v>
      </c>
      <c r="C32" s="34">
        <f>0.12/C30+$C$3*0.0000001/$C$21</f>
        <v>8.3466666666666658</v>
      </c>
      <c r="H32" s="19" t="s">
        <v>1</v>
      </c>
      <c r="J32" s="26">
        <f t="shared" si="3"/>
        <v>8.3469999999999995</v>
      </c>
      <c r="K32" s="26" t="str">
        <f t="shared" si="3"/>
        <v/>
      </c>
      <c r="L32" s="26" t="str">
        <f t="shared" si="3"/>
        <v/>
      </c>
      <c r="M32" s="26" t="str">
        <f t="shared" si="3"/>
        <v/>
      </c>
      <c r="N32" s="26" t="str">
        <f t="shared" si="3"/>
        <v/>
      </c>
      <c r="O32" s="27" t="str">
        <f t="shared" si="2"/>
        <v>A</v>
      </c>
      <c r="P32" s="19"/>
      <c r="Q32" s="19"/>
      <c r="U32" s="19" t="s">
        <v>32</v>
      </c>
    </row>
    <row r="33" spans="2:21" ht="15" thickTop="1" x14ac:dyDescent="0.3">
      <c r="B33" s="29" t="s">
        <v>34</v>
      </c>
      <c r="C33" s="33">
        <f>(1-$C$7/$C$3)*$C$5^2*$C$30</f>
        <v>0.33894230769230771</v>
      </c>
      <c r="H33" s="19" t="s">
        <v>35</v>
      </c>
      <c r="J33" s="31">
        <f t="shared" si="3"/>
        <v>338.94200000000001</v>
      </c>
      <c r="K33" s="31" t="str">
        <f t="shared" si="3"/>
        <v/>
      </c>
      <c r="L33" s="31" t="str">
        <f t="shared" si="3"/>
        <v/>
      </c>
      <c r="M33" s="31" t="str">
        <f t="shared" si="3"/>
        <v/>
      </c>
      <c r="N33" s="31" t="str">
        <f t="shared" si="3"/>
        <v/>
      </c>
      <c r="O33" s="32" t="str">
        <f t="shared" si="2"/>
        <v>mW</v>
      </c>
      <c r="P33" s="19"/>
      <c r="Q33" s="19"/>
    </row>
    <row r="34" spans="2:21" x14ac:dyDescent="0.3">
      <c r="B34" s="41" t="s">
        <v>84</v>
      </c>
      <c r="J34" s="19" t="str">
        <f t="shared" si="3"/>
        <v/>
      </c>
      <c r="K34" s="19" t="str">
        <f t="shared" si="3"/>
        <v/>
      </c>
      <c r="L34" s="19" t="str">
        <f t="shared" si="3"/>
        <v/>
      </c>
      <c r="M34" s="19" t="str">
        <f t="shared" si="3"/>
        <v/>
      </c>
      <c r="N34" s="19" t="str">
        <f t="shared" si="3"/>
        <v/>
      </c>
      <c r="O34" s="19" t="str">
        <f t="shared" si="2"/>
        <v/>
      </c>
      <c r="P34" s="19"/>
      <c r="Q34" s="19"/>
    </row>
    <row r="35" spans="2:21" x14ac:dyDescent="0.3">
      <c r="B35" s="29" t="s">
        <v>36</v>
      </c>
      <c r="C35" s="30">
        <v>8.1999999999999996E-10</v>
      </c>
      <c r="H35" s="19" t="s">
        <v>37</v>
      </c>
      <c r="J35" s="31">
        <f t="shared" si="3"/>
        <v>820</v>
      </c>
      <c r="K35" s="31" t="str">
        <f t="shared" si="3"/>
        <v/>
      </c>
      <c r="L35" s="31" t="str">
        <f t="shared" si="3"/>
        <v/>
      </c>
      <c r="M35" s="31" t="str">
        <f t="shared" si="3"/>
        <v/>
      </c>
      <c r="N35" s="31" t="str">
        <f t="shared" si="3"/>
        <v/>
      </c>
      <c r="O35" s="32" t="str">
        <f t="shared" si="2"/>
        <v>pF</v>
      </c>
      <c r="P35" s="42" t="s">
        <v>151</v>
      </c>
      <c r="Q35" s="44" t="s">
        <v>151</v>
      </c>
      <c r="R35" s="19" t="s">
        <v>97</v>
      </c>
      <c r="S35" s="38" t="s">
        <v>98</v>
      </c>
      <c r="U35" s="19" t="s">
        <v>39</v>
      </c>
    </row>
    <row r="36" spans="2:21" x14ac:dyDescent="0.3">
      <c r="B36" s="29" t="s">
        <v>38</v>
      </c>
      <c r="C36" s="33">
        <f>$C$21/(1*$C$35*$C$30*10)</f>
        <v>121951.21951219514</v>
      </c>
      <c r="H36" s="36" t="s">
        <v>11</v>
      </c>
      <c r="J36" s="26">
        <f t="shared" si="3"/>
        <v>121.95099999999999</v>
      </c>
      <c r="K36" s="26" t="str">
        <f t="shared" si="3"/>
        <v/>
      </c>
      <c r="L36" s="26" t="str">
        <f t="shared" si="3"/>
        <v/>
      </c>
      <c r="M36" s="26" t="str">
        <f t="shared" si="3"/>
        <v/>
      </c>
      <c r="N36" s="26" t="str">
        <f t="shared" si="3"/>
        <v/>
      </c>
      <c r="O36" s="27" t="str">
        <f t="shared" si="2"/>
        <v>kOhms</v>
      </c>
      <c r="P36" s="19"/>
      <c r="Q36" s="19"/>
      <c r="U36" s="19" t="s">
        <v>40</v>
      </c>
    </row>
    <row r="37" spans="2:21" x14ac:dyDescent="0.3">
      <c r="B37" s="29" t="s">
        <v>125</v>
      </c>
      <c r="C37" s="30">
        <v>121000</v>
      </c>
      <c r="H37" s="36" t="s">
        <v>11</v>
      </c>
      <c r="J37" s="31">
        <f t="shared" si="3"/>
        <v>121</v>
      </c>
      <c r="K37" s="31" t="str">
        <f t="shared" si="3"/>
        <v/>
      </c>
      <c r="L37" s="31" t="str">
        <f t="shared" si="3"/>
        <v/>
      </c>
      <c r="M37" s="31" t="str">
        <f t="shared" si="3"/>
        <v/>
      </c>
      <c r="N37" s="31" t="str">
        <f t="shared" si="3"/>
        <v/>
      </c>
      <c r="O37" s="32" t="str">
        <f t="shared" si="2"/>
        <v>kOhms</v>
      </c>
      <c r="P37" s="42" t="s">
        <v>151</v>
      </c>
      <c r="Q37" s="44" t="s">
        <v>151</v>
      </c>
      <c r="R37" s="19" t="s">
        <v>99</v>
      </c>
      <c r="S37" s="38" t="s">
        <v>120</v>
      </c>
    </row>
    <row r="38" spans="2:21" x14ac:dyDescent="0.3">
      <c r="B38" s="41" t="s">
        <v>84</v>
      </c>
      <c r="J38" s="19" t="str">
        <f t="shared" si="3"/>
        <v/>
      </c>
      <c r="K38" s="19" t="str">
        <f t="shared" si="3"/>
        <v/>
      </c>
      <c r="L38" s="19" t="str">
        <f t="shared" si="3"/>
        <v/>
      </c>
      <c r="M38" s="19" t="str">
        <f t="shared" si="3"/>
        <v/>
      </c>
      <c r="N38" s="19" t="str">
        <f t="shared" si="3"/>
        <v/>
      </c>
      <c r="O38" s="19" t="str">
        <f t="shared" si="2"/>
        <v/>
      </c>
      <c r="P38" s="19"/>
      <c r="Q38" s="19"/>
    </row>
    <row r="39" spans="2:21" x14ac:dyDescent="0.3">
      <c r="B39" s="29" t="s">
        <v>42</v>
      </c>
      <c r="C39" s="25">
        <v>2</v>
      </c>
      <c r="H39" s="19" t="s">
        <v>0</v>
      </c>
      <c r="J39" s="19">
        <f t="shared" si="3"/>
        <v>2</v>
      </c>
      <c r="K39" s="19" t="str">
        <f t="shared" si="3"/>
        <v/>
      </c>
      <c r="L39" s="19" t="str">
        <f t="shared" si="3"/>
        <v/>
      </c>
      <c r="M39" s="19" t="str">
        <f t="shared" si="3"/>
        <v/>
      </c>
      <c r="N39" s="19" t="str">
        <f t="shared" si="3"/>
        <v/>
      </c>
      <c r="O39" s="19" t="str">
        <f t="shared" si="2"/>
        <v>V</v>
      </c>
      <c r="P39" s="19"/>
      <c r="Q39" s="19"/>
    </row>
    <row r="40" spans="2:21" x14ac:dyDescent="0.3">
      <c r="B40" s="29" t="s">
        <v>49</v>
      </c>
      <c r="C40" s="25">
        <v>18</v>
      </c>
      <c r="H40" s="19" t="s">
        <v>0</v>
      </c>
      <c r="J40" s="19">
        <f t="shared" si="3"/>
        <v>18</v>
      </c>
      <c r="K40" s="19" t="str">
        <f t="shared" si="3"/>
        <v/>
      </c>
      <c r="L40" s="19" t="str">
        <f t="shared" si="3"/>
        <v/>
      </c>
      <c r="M40" s="19" t="str">
        <f t="shared" si="3"/>
        <v/>
      </c>
      <c r="N40" s="19" t="str">
        <f t="shared" si="3"/>
        <v/>
      </c>
      <c r="O40" s="19" t="str">
        <f t="shared" si="2"/>
        <v>V</v>
      </c>
      <c r="P40" s="19"/>
      <c r="Q40" s="19"/>
    </row>
    <row r="41" spans="2:21" x14ac:dyDescent="0.3">
      <c r="B41" s="29" t="s">
        <v>43</v>
      </c>
      <c r="C41" s="28">
        <f>C39/0.00002</f>
        <v>99999.999999999985</v>
      </c>
      <c r="H41" s="19" t="s">
        <v>11</v>
      </c>
      <c r="J41" s="26">
        <f t="shared" si="3"/>
        <v>100</v>
      </c>
      <c r="K41" s="26" t="str">
        <f t="shared" si="3"/>
        <v/>
      </c>
      <c r="L41" s="26" t="str">
        <f t="shared" si="3"/>
        <v/>
      </c>
      <c r="M41" s="26" t="str">
        <f t="shared" si="3"/>
        <v/>
      </c>
      <c r="N41" s="26" t="str">
        <f t="shared" si="3"/>
        <v/>
      </c>
      <c r="O41" s="27" t="str">
        <f t="shared" si="2"/>
        <v>kOhms</v>
      </c>
      <c r="P41" s="19"/>
      <c r="Q41" s="19"/>
      <c r="U41" s="19" t="s">
        <v>44</v>
      </c>
    </row>
    <row r="42" spans="2:21" x14ac:dyDescent="0.3">
      <c r="B42" s="29" t="s">
        <v>45</v>
      </c>
      <c r="C42" s="30">
        <v>100000</v>
      </c>
      <c r="H42" s="19" t="s">
        <v>11</v>
      </c>
      <c r="J42" s="31">
        <f t="shared" si="3"/>
        <v>100</v>
      </c>
      <c r="K42" s="31" t="str">
        <f t="shared" si="3"/>
        <v/>
      </c>
      <c r="L42" s="31" t="str">
        <f t="shared" si="3"/>
        <v/>
      </c>
      <c r="M42" s="31" t="str">
        <f t="shared" si="3"/>
        <v/>
      </c>
      <c r="N42" s="31" t="str">
        <f t="shared" si="3"/>
        <v/>
      </c>
      <c r="O42" s="32" t="str">
        <f t="shared" si="2"/>
        <v>kOhms</v>
      </c>
      <c r="P42" s="42" t="s">
        <v>151</v>
      </c>
      <c r="Q42" s="44" t="s">
        <v>151</v>
      </c>
      <c r="R42" s="19" t="s">
        <v>99</v>
      </c>
      <c r="S42" s="38" t="s">
        <v>101</v>
      </c>
    </row>
    <row r="43" spans="2:21" x14ac:dyDescent="0.3">
      <c r="B43" s="29" t="s">
        <v>46</v>
      </c>
      <c r="C43" s="33">
        <f>1.25*$C$42/($C$40-1.25)</f>
        <v>7462.686567164179</v>
      </c>
      <c r="H43" s="19" t="s">
        <v>11</v>
      </c>
      <c r="J43" s="26">
        <f t="shared" si="3"/>
        <v>7.4630000000000001</v>
      </c>
      <c r="K43" s="26" t="str">
        <f t="shared" si="3"/>
        <v/>
      </c>
      <c r="L43" s="26" t="str">
        <f t="shared" si="3"/>
        <v/>
      </c>
      <c r="M43" s="26" t="str">
        <f t="shared" si="3"/>
        <v/>
      </c>
      <c r="N43" s="26" t="str">
        <f t="shared" si="3"/>
        <v/>
      </c>
      <c r="O43" s="27" t="str">
        <f t="shared" si="2"/>
        <v>kOhms</v>
      </c>
      <c r="P43" s="19"/>
      <c r="Q43" s="19"/>
      <c r="U43" s="19" t="s">
        <v>47</v>
      </c>
    </row>
    <row r="44" spans="2:21" ht="15" thickBot="1" x14ac:dyDescent="0.35">
      <c r="B44" s="29" t="s">
        <v>48</v>
      </c>
      <c r="C44" s="30">
        <v>7500</v>
      </c>
      <c r="H44" s="19" t="s">
        <v>11</v>
      </c>
      <c r="J44" s="31">
        <f t="shared" si="3"/>
        <v>7.5</v>
      </c>
      <c r="K44" s="31" t="str">
        <f t="shared" si="3"/>
        <v/>
      </c>
      <c r="L44" s="31" t="str">
        <f t="shared" si="3"/>
        <v/>
      </c>
      <c r="M44" s="31" t="str">
        <f t="shared" si="3"/>
        <v/>
      </c>
      <c r="N44" s="31" t="str">
        <f t="shared" si="3"/>
        <v/>
      </c>
      <c r="O44" s="32" t="str">
        <f t="shared" si="2"/>
        <v>kOhms</v>
      </c>
      <c r="P44" s="42" t="s">
        <v>151</v>
      </c>
      <c r="Q44" s="44" t="s">
        <v>151</v>
      </c>
      <c r="R44" s="19" t="s">
        <v>99</v>
      </c>
      <c r="S44" s="38" t="s">
        <v>102</v>
      </c>
    </row>
    <row r="45" spans="2:21" ht="15.6" thickTop="1" thickBot="1" x14ac:dyDescent="0.35">
      <c r="B45" s="29" t="s">
        <v>50</v>
      </c>
      <c r="C45" s="34">
        <f>1.25*($C$42+$C$44)/$C$44</f>
        <v>17.916666666666668</v>
      </c>
      <c r="H45" s="19" t="s">
        <v>0</v>
      </c>
      <c r="J45" s="26">
        <f t="shared" si="3"/>
        <v>17.917000000000002</v>
      </c>
      <c r="K45" s="26" t="str">
        <f t="shared" si="3"/>
        <v/>
      </c>
      <c r="L45" s="26" t="str">
        <f t="shared" si="3"/>
        <v/>
      </c>
      <c r="M45" s="26" t="str">
        <f t="shared" si="3"/>
        <v/>
      </c>
      <c r="N45" s="26" t="str">
        <f t="shared" si="3"/>
        <v/>
      </c>
      <c r="O45" s="27" t="str">
        <f t="shared" si="2"/>
        <v>V</v>
      </c>
      <c r="P45" s="19"/>
      <c r="Q45" s="19"/>
    </row>
    <row r="46" spans="2:21" ht="15" thickTop="1" x14ac:dyDescent="0.3">
      <c r="B46" s="41" t="s">
        <v>84</v>
      </c>
      <c r="J46" s="19" t="str">
        <f t="shared" si="3"/>
        <v/>
      </c>
      <c r="K46" s="19" t="str">
        <f t="shared" si="3"/>
        <v/>
      </c>
      <c r="L46" s="19" t="str">
        <f t="shared" si="3"/>
        <v/>
      </c>
      <c r="M46" s="19" t="str">
        <f t="shared" si="3"/>
        <v/>
      </c>
      <c r="N46" s="19" t="str">
        <f t="shared" si="3"/>
        <v/>
      </c>
      <c r="O46" s="19" t="str">
        <f t="shared" si="2"/>
        <v/>
      </c>
      <c r="P46" s="19"/>
      <c r="Q46" s="19"/>
    </row>
    <row r="47" spans="2:21" x14ac:dyDescent="0.3">
      <c r="B47" s="29" t="s">
        <v>56</v>
      </c>
      <c r="C47" s="25">
        <v>0.25</v>
      </c>
      <c r="H47" s="19" t="s">
        <v>0</v>
      </c>
      <c r="J47" s="26">
        <f t="shared" si="3"/>
        <v>250</v>
      </c>
      <c r="K47" s="26" t="str">
        <f t="shared" si="3"/>
        <v/>
      </c>
      <c r="L47" s="26" t="str">
        <f t="shared" si="3"/>
        <v/>
      </c>
      <c r="M47" s="26" t="str">
        <f t="shared" si="3"/>
        <v/>
      </c>
      <c r="N47" s="26" t="str">
        <f t="shared" si="3"/>
        <v/>
      </c>
      <c r="O47" s="27" t="str">
        <f t="shared" si="2"/>
        <v>mV</v>
      </c>
      <c r="P47" s="19"/>
      <c r="Q47" s="19"/>
    </row>
    <row r="48" spans="2:21" x14ac:dyDescent="0.3">
      <c r="B48" s="29" t="s">
        <v>57</v>
      </c>
      <c r="C48" s="33">
        <f>$C$5/(4*$C$13*$C$47)</f>
        <v>1.1111111111111112E-5</v>
      </c>
      <c r="H48" s="19" t="s">
        <v>37</v>
      </c>
      <c r="J48" s="26">
        <f t="shared" si="3"/>
        <v>11.111000000000001</v>
      </c>
      <c r="K48" s="26" t="str">
        <f t="shared" si="3"/>
        <v/>
      </c>
      <c r="L48" s="26" t="str">
        <f t="shared" si="3"/>
        <v/>
      </c>
      <c r="M48" s="26" t="str">
        <f t="shared" si="3"/>
        <v/>
      </c>
      <c r="N48" s="26" t="str">
        <f t="shared" si="3"/>
        <v/>
      </c>
      <c r="O48" s="27" t="str">
        <f t="shared" si="2"/>
        <v>µF</v>
      </c>
      <c r="P48" s="19"/>
      <c r="Q48" s="19"/>
    </row>
    <row r="49" spans="2:21" x14ac:dyDescent="0.3">
      <c r="B49" s="29" t="s">
        <v>103</v>
      </c>
      <c r="C49" s="30">
        <v>1.5E-5</v>
      </c>
      <c r="D49" s="33">
        <f>$C$49</f>
        <v>1.5E-5</v>
      </c>
      <c r="E49" s="33">
        <f t="shared" ref="E49:G49" si="5">$C$49</f>
        <v>1.5E-5</v>
      </c>
      <c r="F49" s="33">
        <f t="shared" si="5"/>
        <v>1.5E-5</v>
      </c>
      <c r="G49" s="33">
        <f t="shared" si="5"/>
        <v>1.5E-5</v>
      </c>
      <c r="H49" s="19" t="s">
        <v>37</v>
      </c>
      <c r="J49" s="31">
        <f t="shared" si="3"/>
        <v>15</v>
      </c>
      <c r="K49" s="31">
        <f t="shared" si="3"/>
        <v>15</v>
      </c>
      <c r="L49" s="31">
        <f t="shared" si="3"/>
        <v>15</v>
      </c>
      <c r="M49" s="31">
        <f t="shared" si="3"/>
        <v>15</v>
      </c>
      <c r="N49" s="31">
        <f t="shared" si="3"/>
        <v>15</v>
      </c>
      <c r="O49" s="32" t="str">
        <f t="shared" si="2"/>
        <v>µF</v>
      </c>
      <c r="P49" s="42" t="s">
        <v>151</v>
      </c>
      <c r="Q49" s="44" t="s">
        <v>151</v>
      </c>
      <c r="R49" s="19" t="s">
        <v>107</v>
      </c>
      <c r="S49" s="38" t="s">
        <v>108</v>
      </c>
    </row>
    <row r="50" spans="2:21" x14ac:dyDescent="0.3">
      <c r="B50" s="29" t="s">
        <v>106</v>
      </c>
      <c r="C50" s="30">
        <v>4.4999999999999997E-3</v>
      </c>
      <c r="D50" s="33">
        <f>$C$50</f>
        <v>4.4999999999999997E-3</v>
      </c>
      <c r="E50" s="33">
        <f t="shared" ref="E50:G50" si="6">$C$50</f>
        <v>4.4999999999999997E-3</v>
      </c>
      <c r="F50" s="33">
        <f t="shared" si="6"/>
        <v>4.4999999999999997E-3</v>
      </c>
      <c r="G50" s="33">
        <f t="shared" si="6"/>
        <v>4.4999999999999997E-3</v>
      </c>
      <c r="H50" s="19" t="s">
        <v>5</v>
      </c>
      <c r="J50" s="31">
        <f t="shared" si="3"/>
        <v>4.5</v>
      </c>
      <c r="K50" s="31">
        <f t="shared" si="3"/>
        <v>4.5</v>
      </c>
      <c r="L50" s="31">
        <f t="shared" si="3"/>
        <v>4.5</v>
      </c>
      <c r="M50" s="31">
        <f t="shared" si="3"/>
        <v>4.5</v>
      </c>
      <c r="N50" s="31">
        <f t="shared" si="3"/>
        <v>4.5</v>
      </c>
      <c r="O50" s="32" t="str">
        <f t="shared" si="2"/>
        <v>mOhm</v>
      </c>
      <c r="P50" s="19"/>
      <c r="Q50" s="19"/>
      <c r="U50" s="19" t="s">
        <v>112</v>
      </c>
    </row>
    <row r="51" spans="2:21" x14ac:dyDescent="0.3">
      <c r="B51" s="29" t="s">
        <v>104</v>
      </c>
      <c r="C51" s="39">
        <f>1-0.486</f>
        <v>0.51400000000000001</v>
      </c>
      <c r="D51" s="39">
        <f>1-0.111</f>
        <v>0.88900000000000001</v>
      </c>
      <c r="E51" s="39">
        <f>1-0.158</f>
        <v>0.84199999999999997</v>
      </c>
      <c r="F51" s="39">
        <f>1-0.309</f>
        <v>0.69100000000000006</v>
      </c>
      <c r="G51" s="39">
        <f>1-0.486</f>
        <v>0.51400000000000001</v>
      </c>
      <c r="J51" s="31">
        <f t="shared" si="3"/>
        <v>514</v>
      </c>
      <c r="K51" s="31">
        <f t="shared" si="3"/>
        <v>889</v>
      </c>
      <c r="L51" s="31">
        <f t="shared" si="3"/>
        <v>842</v>
      </c>
      <c r="M51" s="31">
        <f t="shared" si="3"/>
        <v>691</v>
      </c>
      <c r="N51" s="31">
        <f t="shared" si="3"/>
        <v>514</v>
      </c>
      <c r="O51" s="32" t="str">
        <f t="shared" si="2"/>
        <v/>
      </c>
      <c r="P51" s="19"/>
      <c r="Q51" s="19"/>
      <c r="U51" s="19" t="s">
        <v>112</v>
      </c>
    </row>
    <row r="52" spans="2:21" x14ac:dyDescent="0.3">
      <c r="B52" s="29" t="s">
        <v>105</v>
      </c>
      <c r="C52" s="25">
        <v>2</v>
      </c>
      <c r="D52" s="28">
        <f>$C$52</f>
        <v>2</v>
      </c>
      <c r="E52" s="28">
        <f t="shared" ref="E52:G52" si="7">$C$52</f>
        <v>2</v>
      </c>
      <c r="F52" s="28">
        <f t="shared" si="7"/>
        <v>2</v>
      </c>
      <c r="G52" s="28">
        <f t="shared" si="7"/>
        <v>2</v>
      </c>
      <c r="J52" s="31">
        <f t="shared" si="3"/>
        <v>2</v>
      </c>
      <c r="K52" s="31">
        <f t="shared" si="3"/>
        <v>2</v>
      </c>
      <c r="L52" s="31">
        <f t="shared" si="3"/>
        <v>2</v>
      </c>
      <c r="M52" s="31">
        <f t="shared" si="3"/>
        <v>2</v>
      </c>
      <c r="N52" s="31">
        <f t="shared" si="3"/>
        <v>2</v>
      </c>
      <c r="O52" s="32" t="str">
        <f t="shared" si="2"/>
        <v/>
      </c>
      <c r="P52" s="19"/>
      <c r="Q52" s="19"/>
    </row>
    <row r="53" spans="2:21" x14ac:dyDescent="0.3">
      <c r="B53" s="29" t="s">
        <v>58</v>
      </c>
      <c r="C53" s="33">
        <f>$C$51*$C$49</f>
        <v>7.7100000000000007E-6</v>
      </c>
      <c r="D53" s="33">
        <f>D50*$C$49</f>
        <v>6.7500000000000002E-8</v>
      </c>
      <c r="E53" s="33">
        <f t="shared" ref="E53:G53" si="8">E50*$C$49</f>
        <v>6.7500000000000002E-8</v>
      </c>
      <c r="F53" s="33">
        <f t="shared" si="8"/>
        <v>6.7500000000000002E-8</v>
      </c>
      <c r="G53" s="33">
        <f t="shared" si="8"/>
        <v>6.7500000000000002E-8</v>
      </c>
      <c r="H53" s="19" t="s">
        <v>37</v>
      </c>
      <c r="J53" s="31">
        <f t="shared" si="3"/>
        <v>7.71</v>
      </c>
      <c r="K53" s="31">
        <f t="shared" si="3"/>
        <v>67.5</v>
      </c>
      <c r="L53" s="31">
        <f t="shared" si="3"/>
        <v>67.5</v>
      </c>
      <c r="M53" s="31">
        <f t="shared" si="3"/>
        <v>67.5</v>
      </c>
      <c r="N53" s="31">
        <f t="shared" si="3"/>
        <v>67.5</v>
      </c>
      <c r="O53" s="32" t="str">
        <f t="shared" si="2"/>
        <v>µF</v>
      </c>
      <c r="P53" s="19"/>
      <c r="Q53" s="19"/>
    </row>
    <row r="54" spans="2:21" x14ac:dyDescent="0.3">
      <c r="B54" s="29" t="s">
        <v>117</v>
      </c>
      <c r="C54" s="33">
        <f>$C$52*$C$51*$C$49</f>
        <v>1.5420000000000001E-5</v>
      </c>
      <c r="D54" s="33">
        <f>$C$52*D51*$C$49</f>
        <v>2.667E-5</v>
      </c>
      <c r="E54" s="33">
        <f t="shared" ref="E54:G54" si="9">$C$52*E51*$C$49</f>
        <v>2.5259999999999999E-5</v>
      </c>
      <c r="F54" s="33">
        <f t="shared" si="9"/>
        <v>2.0730000000000003E-5</v>
      </c>
      <c r="G54" s="33">
        <f t="shared" si="9"/>
        <v>1.5420000000000001E-5</v>
      </c>
      <c r="H54" s="19" t="s">
        <v>37</v>
      </c>
      <c r="J54" s="31">
        <f t="shared" si="3"/>
        <v>15.42</v>
      </c>
      <c r="K54" s="31">
        <f t="shared" si="3"/>
        <v>26.67</v>
      </c>
      <c r="L54" s="31">
        <f t="shared" si="3"/>
        <v>25.26</v>
      </c>
      <c r="M54" s="31">
        <f t="shared" si="3"/>
        <v>20.73</v>
      </c>
      <c r="N54" s="31">
        <f t="shared" si="3"/>
        <v>15.42</v>
      </c>
      <c r="O54" s="32" t="str">
        <f t="shared" si="2"/>
        <v>µF</v>
      </c>
      <c r="P54" s="19"/>
      <c r="Q54" s="19"/>
    </row>
    <row r="55" spans="2:21" ht="15" thickBot="1" x14ac:dyDescent="0.35">
      <c r="B55" s="29" t="s">
        <v>106</v>
      </c>
      <c r="C55" s="33">
        <f>$C$50/$C$52</f>
        <v>2.2499999999999998E-3</v>
      </c>
      <c r="D55" s="33">
        <f>$C$50/$C$52</f>
        <v>2.2499999999999998E-3</v>
      </c>
      <c r="E55" s="33">
        <f t="shared" ref="E55:G55" si="10">$C$50/$C$52</f>
        <v>2.2499999999999998E-3</v>
      </c>
      <c r="F55" s="33">
        <f t="shared" si="10"/>
        <v>2.2499999999999998E-3</v>
      </c>
      <c r="G55" s="33">
        <f t="shared" si="10"/>
        <v>2.2499999999999998E-3</v>
      </c>
      <c r="H55" s="19" t="s">
        <v>5</v>
      </c>
      <c r="J55" s="31">
        <f t="shared" si="3"/>
        <v>2.25</v>
      </c>
      <c r="K55" s="31">
        <f t="shared" si="3"/>
        <v>2.25</v>
      </c>
      <c r="L55" s="31">
        <f t="shared" si="3"/>
        <v>2.25</v>
      </c>
      <c r="M55" s="31">
        <f t="shared" si="3"/>
        <v>2.25</v>
      </c>
      <c r="N55" s="31">
        <f t="shared" si="3"/>
        <v>2.25</v>
      </c>
      <c r="O55" s="32" t="str">
        <f t="shared" si="2"/>
        <v>mOhm</v>
      </c>
      <c r="P55" s="19"/>
      <c r="Q55" s="19"/>
    </row>
    <row r="56" spans="2:21" ht="15.6" thickTop="1" thickBot="1" x14ac:dyDescent="0.35">
      <c r="B56" s="29" t="s">
        <v>59</v>
      </c>
      <c r="C56" s="34">
        <f>$C$5/(4*$C$13*$C$54)</f>
        <v>0.1801412307248883</v>
      </c>
      <c r="D56" s="34">
        <f>$C$5/(4*$C$13*D54)</f>
        <v>0.10415364746073408</v>
      </c>
      <c r="E56" s="34">
        <f t="shared" ref="E56:G56" si="11">$C$5/(4*$C$13*E54)</f>
        <v>0.10996744963490808</v>
      </c>
      <c r="F56" s="34">
        <f t="shared" si="11"/>
        <v>0.13399796323095886</v>
      </c>
      <c r="G56" s="34">
        <f t="shared" si="11"/>
        <v>0.1801412307248883</v>
      </c>
      <c r="H56" s="19" t="s">
        <v>0</v>
      </c>
      <c r="J56" s="26">
        <f t="shared" si="3"/>
        <v>180.14099999999999</v>
      </c>
      <c r="K56" s="26">
        <f t="shared" si="3"/>
        <v>104.154</v>
      </c>
      <c r="L56" s="26">
        <f t="shared" si="3"/>
        <v>109.967</v>
      </c>
      <c r="M56" s="26">
        <f t="shared" si="3"/>
        <v>133.99799999999999</v>
      </c>
      <c r="N56" s="26">
        <f t="shared" si="3"/>
        <v>180.14099999999999</v>
      </c>
      <c r="O56" s="37" t="str">
        <f t="shared" si="2"/>
        <v>mV</v>
      </c>
      <c r="P56" s="19"/>
      <c r="Q56" s="19"/>
    </row>
    <row r="57" spans="2:21" ht="15" thickTop="1" x14ac:dyDescent="0.3">
      <c r="B57" s="41" t="s">
        <v>84</v>
      </c>
      <c r="J57" s="19" t="str">
        <f t="shared" si="3"/>
        <v/>
      </c>
      <c r="K57" s="19" t="str">
        <f t="shared" si="3"/>
        <v/>
      </c>
      <c r="L57" s="19" t="str">
        <f t="shared" si="3"/>
        <v/>
      </c>
      <c r="M57" s="19" t="str">
        <f t="shared" si="3"/>
        <v/>
      </c>
      <c r="N57" s="19" t="str">
        <f t="shared" si="3"/>
        <v/>
      </c>
      <c r="O57" s="19" t="str">
        <f t="shared" si="2"/>
        <v/>
      </c>
      <c r="P57" s="19"/>
      <c r="Q57" s="19"/>
    </row>
    <row r="58" spans="2:21" x14ac:dyDescent="0.3">
      <c r="B58" s="29" t="s">
        <v>51</v>
      </c>
      <c r="C58" s="30">
        <v>2.5000000000000001E-2</v>
      </c>
      <c r="H58" s="19" t="s">
        <v>0</v>
      </c>
      <c r="J58" s="26">
        <f t="shared" si="3"/>
        <v>25</v>
      </c>
      <c r="K58" s="26" t="str">
        <f t="shared" si="3"/>
        <v/>
      </c>
      <c r="L58" s="26" t="str">
        <f t="shared" si="3"/>
        <v/>
      </c>
      <c r="M58" s="26" t="str">
        <f t="shared" si="3"/>
        <v/>
      </c>
      <c r="N58" s="26" t="str">
        <f t="shared" si="3"/>
        <v/>
      </c>
      <c r="O58" s="27" t="str">
        <f t="shared" si="2"/>
        <v>mV</v>
      </c>
      <c r="P58" s="19"/>
      <c r="Q58" s="19"/>
      <c r="U58" s="19" t="s">
        <v>55</v>
      </c>
    </row>
    <row r="59" spans="2:21" x14ac:dyDescent="0.3">
      <c r="B59" s="29" t="s">
        <v>77</v>
      </c>
      <c r="C59" s="30">
        <v>2E-3</v>
      </c>
      <c r="H59" s="19" t="s">
        <v>11</v>
      </c>
      <c r="J59" s="26">
        <f t="shared" si="3"/>
        <v>2</v>
      </c>
      <c r="K59" s="26" t="str">
        <f t="shared" si="3"/>
        <v/>
      </c>
      <c r="L59" s="26" t="str">
        <f t="shared" si="3"/>
        <v/>
      </c>
      <c r="M59" s="26" t="str">
        <f t="shared" si="3"/>
        <v/>
      </c>
      <c r="N59" s="26" t="str">
        <f t="shared" si="3"/>
        <v/>
      </c>
      <c r="O59" s="27" t="str">
        <f t="shared" si="2"/>
        <v>mOhms</v>
      </c>
      <c r="P59" s="19"/>
      <c r="Q59" s="19"/>
    </row>
    <row r="60" spans="2:21" x14ac:dyDescent="0.3">
      <c r="B60" s="29" t="s">
        <v>52</v>
      </c>
      <c r="C60" s="33">
        <f>1/(8*$C$13*SQRT(($C$58/$C$24)^2-$C$59^2))</f>
        <v>7.4497566298966635E-6</v>
      </c>
      <c r="H60" s="19" t="s">
        <v>37</v>
      </c>
      <c r="J60" s="26">
        <f t="shared" si="3"/>
        <v>7.45</v>
      </c>
      <c r="K60" s="26" t="str">
        <f t="shared" si="3"/>
        <v/>
      </c>
      <c r="L60" s="26" t="str">
        <f t="shared" si="3"/>
        <v/>
      </c>
      <c r="M60" s="26" t="str">
        <f t="shared" si="3"/>
        <v/>
      </c>
      <c r="N60" s="26" t="str">
        <f t="shared" si="3"/>
        <v/>
      </c>
      <c r="O60" s="27" t="str">
        <f t="shared" si="2"/>
        <v>µF</v>
      </c>
      <c r="P60" s="19"/>
      <c r="Q60" s="19"/>
    </row>
    <row r="61" spans="2:21" x14ac:dyDescent="0.3">
      <c r="B61" s="29" t="s">
        <v>109</v>
      </c>
      <c r="C61" s="30">
        <v>1.5E-5</v>
      </c>
      <c r="D61"/>
      <c r="E61"/>
      <c r="F61"/>
      <c r="G61"/>
      <c r="H61" s="19" t="s">
        <v>37</v>
      </c>
      <c r="J61" s="31">
        <f t="shared" si="3"/>
        <v>15</v>
      </c>
      <c r="K61" s="31" t="str">
        <f t="shared" si="3"/>
        <v/>
      </c>
      <c r="L61" s="31" t="str">
        <f t="shared" si="3"/>
        <v/>
      </c>
      <c r="M61" s="31" t="str">
        <f t="shared" si="3"/>
        <v/>
      </c>
      <c r="N61" s="31" t="str">
        <f t="shared" si="3"/>
        <v/>
      </c>
      <c r="O61" s="32" t="str">
        <f t="shared" si="2"/>
        <v>µF</v>
      </c>
      <c r="P61" s="42" t="s">
        <v>151</v>
      </c>
      <c r="Q61" s="44" t="s">
        <v>151</v>
      </c>
      <c r="R61" s="19" t="s">
        <v>107</v>
      </c>
      <c r="S61" s="38" t="s">
        <v>108</v>
      </c>
    </row>
    <row r="62" spans="2:21" x14ac:dyDescent="0.3">
      <c r="B62" s="29" t="s">
        <v>76</v>
      </c>
      <c r="C62" s="30">
        <v>4.4999999999999997E-3</v>
      </c>
      <c r="D62"/>
      <c r="E62"/>
      <c r="F62"/>
      <c r="G62"/>
      <c r="H62" s="19" t="s">
        <v>5</v>
      </c>
      <c r="J62" s="31">
        <f t="shared" si="3"/>
        <v>4.5</v>
      </c>
      <c r="K62" s="31" t="str">
        <f t="shared" si="3"/>
        <v/>
      </c>
      <c r="L62" s="31" t="str">
        <f t="shared" si="3"/>
        <v/>
      </c>
      <c r="M62" s="31" t="str">
        <f t="shared" si="3"/>
        <v/>
      </c>
      <c r="N62" s="31" t="str">
        <f t="shared" si="3"/>
        <v/>
      </c>
      <c r="O62" s="32" t="str">
        <f t="shared" si="2"/>
        <v>mOhm</v>
      </c>
      <c r="P62" s="19"/>
      <c r="Q62" s="19"/>
      <c r="U62" s="19" t="s">
        <v>112</v>
      </c>
    </row>
    <row r="63" spans="2:21" x14ac:dyDescent="0.3">
      <c r="B63" s="29" t="s">
        <v>110</v>
      </c>
      <c r="C63" s="39">
        <f>1-0.003</f>
        <v>0.997</v>
      </c>
      <c r="D63"/>
      <c r="E63"/>
      <c r="F63"/>
      <c r="G63"/>
      <c r="J63" s="31">
        <f t="shared" si="3"/>
        <v>997</v>
      </c>
      <c r="K63" s="31" t="str">
        <f t="shared" si="3"/>
        <v/>
      </c>
      <c r="L63" s="31" t="str">
        <f t="shared" si="3"/>
        <v/>
      </c>
      <c r="M63" s="31" t="str">
        <f t="shared" si="3"/>
        <v/>
      </c>
      <c r="N63" s="31" t="str">
        <f t="shared" si="3"/>
        <v/>
      </c>
      <c r="O63" s="32" t="str">
        <f t="shared" si="2"/>
        <v/>
      </c>
      <c r="P63" s="19"/>
      <c r="Q63" s="19"/>
      <c r="U63" s="19" t="s">
        <v>112</v>
      </c>
    </row>
    <row r="64" spans="2:21" x14ac:dyDescent="0.3">
      <c r="B64" s="29" t="s">
        <v>111</v>
      </c>
      <c r="C64" s="25">
        <v>4</v>
      </c>
      <c r="D64"/>
      <c r="E64"/>
      <c r="F64"/>
      <c r="G64"/>
      <c r="J64" s="31">
        <f t="shared" si="3"/>
        <v>4</v>
      </c>
      <c r="K64" s="31" t="str">
        <f t="shared" si="3"/>
        <v/>
      </c>
      <c r="L64" s="31" t="str">
        <f t="shared" si="3"/>
        <v/>
      </c>
      <c r="M64" s="31" t="str">
        <f t="shared" si="3"/>
        <v/>
      </c>
      <c r="N64" s="31" t="str">
        <f t="shared" si="3"/>
        <v/>
      </c>
      <c r="O64" s="32" t="str">
        <f t="shared" si="2"/>
        <v/>
      </c>
      <c r="P64" s="19"/>
      <c r="Q64" s="19"/>
    </row>
    <row r="65" spans="2:19" x14ac:dyDescent="0.3">
      <c r="B65" s="29" t="s">
        <v>53</v>
      </c>
      <c r="C65" s="33">
        <f>$C$63*$C$61</f>
        <v>1.4955E-5</v>
      </c>
      <c r="H65" s="19" t="s">
        <v>37</v>
      </c>
      <c r="J65" s="31">
        <f t="shared" si="3"/>
        <v>14.955</v>
      </c>
      <c r="K65" s="31" t="str">
        <f t="shared" si="3"/>
        <v/>
      </c>
      <c r="L65" s="31" t="str">
        <f t="shared" si="3"/>
        <v/>
      </c>
      <c r="M65" s="31" t="str">
        <f t="shared" si="3"/>
        <v/>
      </c>
      <c r="N65" s="31" t="str">
        <f t="shared" si="3"/>
        <v/>
      </c>
      <c r="O65" s="32" t="str">
        <f t="shared" si="2"/>
        <v>µF</v>
      </c>
      <c r="P65" s="19"/>
      <c r="Q65" s="19"/>
    </row>
    <row r="66" spans="2:19" x14ac:dyDescent="0.3">
      <c r="B66" s="29" t="s">
        <v>116</v>
      </c>
      <c r="C66" s="33">
        <f>$C$64*$C$63*$C$61</f>
        <v>5.982E-5</v>
      </c>
      <c r="H66" s="19" t="s">
        <v>37</v>
      </c>
      <c r="J66" s="31">
        <f t="shared" si="3"/>
        <v>59.82</v>
      </c>
      <c r="K66" s="31" t="str">
        <f t="shared" si="3"/>
        <v/>
      </c>
      <c r="L66" s="31" t="str">
        <f t="shared" si="3"/>
        <v/>
      </c>
      <c r="M66" s="31" t="str">
        <f t="shared" si="3"/>
        <v/>
      </c>
      <c r="N66" s="31" t="str">
        <f t="shared" si="3"/>
        <v/>
      </c>
      <c r="O66" s="32" t="str">
        <f t="shared" si="2"/>
        <v>µF</v>
      </c>
      <c r="P66" s="19"/>
      <c r="Q66" s="19"/>
    </row>
    <row r="67" spans="2:19" ht="15" thickBot="1" x14ac:dyDescent="0.35">
      <c r="B67" s="29" t="s">
        <v>76</v>
      </c>
      <c r="C67" s="33">
        <f>$C$62/$C$64</f>
        <v>1.1249999999999999E-3</v>
      </c>
      <c r="H67" s="19" t="s">
        <v>11</v>
      </c>
      <c r="J67" s="31">
        <f t="shared" si="3"/>
        <v>1.125</v>
      </c>
      <c r="K67" s="31" t="str">
        <f t="shared" si="3"/>
        <v/>
      </c>
      <c r="L67" s="31" t="str">
        <f t="shared" si="3"/>
        <v/>
      </c>
      <c r="M67" s="31" t="str">
        <f t="shared" si="3"/>
        <v/>
      </c>
      <c r="N67" s="31" t="str">
        <f t="shared" si="3"/>
        <v/>
      </c>
      <c r="O67" s="32" t="str">
        <f t="shared" si="2"/>
        <v>mOhms</v>
      </c>
      <c r="P67" s="19"/>
      <c r="Q67" s="19"/>
    </row>
    <row r="68" spans="2:19" ht="15.6" thickTop="1" thickBot="1" x14ac:dyDescent="0.35">
      <c r="B68" s="29" t="s">
        <v>54</v>
      </c>
      <c r="C68" s="34">
        <f>$C$24*SQRT($C$67^2+(1/(8*$C$13*$C$66))^2)</f>
        <v>3.198875340467157E-3</v>
      </c>
      <c r="H68" s="19" t="s">
        <v>0</v>
      </c>
      <c r="J68" s="26">
        <f t="shared" si="3"/>
        <v>3.1989999999999998</v>
      </c>
      <c r="K68" s="26" t="str">
        <f t="shared" si="3"/>
        <v/>
      </c>
      <c r="L68" s="26" t="str">
        <f t="shared" si="3"/>
        <v/>
      </c>
      <c r="M68" s="26" t="str">
        <f t="shared" si="3"/>
        <v/>
      </c>
      <c r="N68" s="26" t="str">
        <f t="shared" si="3"/>
        <v/>
      </c>
      <c r="O68" s="27" t="str">
        <f t="shared" si="2"/>
        <v>mV</v>
      </c>
      <c r="P68" s="19"/>
      <c r="Q68" s="19"/>
    </row>
    <row r="69" spans="2:19" ht="15" thickTop="1" x14ac:dyDescent="0.3">
      <c r="B69" s="41" t="s">
        <v>84</v>
      </c>
      <c r="J69" s="19" t="str">
        <f t="shared" si="3"/>
        <v/>
      </c>
      <c r="K69" s="19" t="str">
        <f t="shared" si="3"/>
        <v/>
      </c>
      <c r="L69" s="19" t="str">
        <f t="shared" si="3"/>
        <v/>
      </c>
      <c r="M69" s="19" t="str">
        <f t="shared" si="3"/>
        <v/>
      </c>
      <c r="N69" s="19" t="str">
        <f t="shared" si="3"/>
        <v/>
      </c>
      <c r="O69" s="19" t="str">
        <f t="shared" si="2"/>
        <v/>
      </c>
      <c r="P69" s="19"/>
      <c r="Q69" s="19"/>
    </row>
    <row r="70" spans="2:19" x14ac:dyDescent="0.3">
      <c r="B70" s="29" t="s">
        <v>65</v>
      </c>
      <c r="C70" s="25">
        <v>10</v>
      </c>
      <c r="J70" s="26">
        <f t="shared" si="3"/>
        <v>10</v>
      </c>
      <c r="K70" s="26" t="str">
        <f t="shared" si="3"/>
        <v/>
      </c>
      <c r="L70" s="26" t="str">
        <f t="shared" si="3"/>
        <v/>
      </c>
      <c r="M70" s="26" t="str">
        <f t="shared" si="3"/>
        <v/>
      </c>
      <c r="N70" s="26" t="str">
        <f t="shared" si="3"/>
        <v/>
      </c>
      <c r="O70" s="27" t="str">
        <f t="shared" si="2"/>
        <v/>
      </c>
      <c r="P70" s="19"/>
      <c r="Q70" s="19"/>
    </row>
    <row r="71" spans="2:19" x14ac:dyDescent="0.3">
      <c r="B71" s="29" t="s">
        <v>66</v>
      </c>
      <c r="C71" s="33">
        <f>$C$13/$C$70</f>
        <v>45000</v>
      </c>
      <c r="H71" s="19" t="s">
        <v>3</v>
      </c>
      <c r="J71" s="26">
        <f t="shared" si="3"/>
        <v>45</v>
      </c>
      <c r="K71" s="26" t="str">
        <f t="shared" si="3"/>
        <v/>
      </c>
      <c r="L71" s="26" t="str">
        <f t="shared" si="3"/>
        <v/>
      </c>
      <c r="M71" s="26" t="str">
        <f t="shared" si="3"/>
        <v/>
      </c>
      <c r="N71" s="26" t="str">
        <f t="shared" si="3"/>
        <v/>
      </c>
      <c r="O71" s="27" t="str">
        <f t="shared" si="2"/>
        <v>kHz</v>
      </c>
      <c r="P71" s="19"/>
      <c r="Q71" s="19"/>
    </row>
    <row r="72" spans="2:19" x14ac:dyDescent="0.3">
      <c r="B72" s="29" t="s">
        <v>67</v>
      </c>
      <c r="C72" s="33">
        <f>2*PI()*$C$30*10*$C$66*$C$8*$C$71</f>
        <v>12659.90933650495</v>
      </c>
      <c r="H72" s="19" t="s">
        <v>11</v>
      </c>
      <c r="J72" s="26">
        <f t="shared" ref="J72:N85" si="12">IF(ISBLANK(C72),"",IFERROR(ROUND(C72 / (
  1000 ^ INT(LOG(ABS(C72),1000)) ),3
),"-"))</f>
        <v>12.66</v>
      </c>
      <c r="K72" s="26" t="str">
        <f t="shared" si="12"/>
        <v/>
      </c>
      <c r="L72" s="26" t="str">
        <f t="shared" si="12"/>
        <v/>
      </c>
      <c r="M72" s="26" t="str">
        <f t="shared" si="12"/>
        <v/>
      </c>
      <c r="N72" s="26" t="str">
        <f t="shared" si="12"/>
        <v/>
      </c>
      <c r="O72" s="37" t="str">
        <f t="shared" si="2"/>
        <v>kOhms</v>
      </c>
      <c r="P72" s="19"/>
      <c r="Q72" s="19"/>
    </row>
    <row r="73" spans="2:19" ht="15" thickBot="1" x14ac:dyDescent="0.35">
      <c r="B73" s="29" t="s">
        <v>69</v>
      </c>
      <c r="C73" s="30">
        <v>12400</v>
      </c>
      <c r="H73" s="19" t="s">
        <v>11</v>
      </c>
      <c r="J73" s="31">
        <f t="shared" si="12"/>
        <v>12.4</v>
      </c>
      <c r="K73" s="31" t="str">
        <f t="shared" si="12"/>
        <v/>
      </c>
      <c r="L73" s="31" t="str">
        <f t="shared" si="12"/>
        <v/>
      </c>
      <c r="M73" s="31" t="str">
        <f t="shared" si="12"/>
        <v/>
      </c>
      <c r="N73" s="31" t="str">
        <f t="shared" si="12"/>
        <v/>
      </c>
      <c r="O73" s="32" t="str">
        <f t="shared" si="2"/>
        <v>kOhms</v>
      </c>
      <c r="P73" s="42" t="s">
        <v>151</v>
      </c>
      <c r="Q73" s="44" t="s">
        <v>151</v>
      </c>
      <c r="R73" s="19" t="s">
        <v>99</v>
      </c>
      <c r="S73" s="38" t="s">
        <v>121</v>
      </c>
    </row>
    <row r="74" spans="2:19" ht="15.6" thickTop="1" thickBot="1" x14ac:dyDescent="0.35">
      <c r="B74" s="29" t="s">
        <v>70</v>
      </c>
      <c r="C74" s="34">
        <f>$C$73/(2*PI()*$C$30*10*$C$66*$C$8)</f>
        <v>44076.145031386797</v>
      </c>
      <c r="H74" s="19" t="s">
        <v>3</v>
      </c>
      <c r="J74" s="26">
        <f t="shared" si="12"/>
        <v>44.076000000000001</v>
      </c>
      <c r="K74" s="26" t="str">
        <f t="shared" si="12"/>
        <v/>
      </c>
      <c r="L74" s="26" t="str">
        <f t="shared" si="12"/>
        <v/>
      </c>
      <c r="M74" s="26" t="str">
        <f t="shared" si="12"/>
        <v/>
      </c>
      <c r="N74" s="26" t="str">
        <f t="shared" si="12"/>
        <v/>
      </c>
      <c r="O74" s="37" t="str">
        <f t="shared" si="2"/>
        <v>kHz</v>
      </c>
      <c r="P74" s="19"/>
      <c r="Q74" s="19"/>
    </row>
    <row r="75" spans="2:19" ht="15" thickTop="1" x14ac:dyDescent="0.3">
      <c r="B75" s="41" t="s">
        <v>84</v>
      </c>
      <c r="J75" s="19" t="str">
        <f t="shared" si="12"/>
        <v/>
      </c>
      <c r="K75" s="19" t="str">
        <f t="shared" si="12"/>
        <v/>
      </c>
      <c r="L75" s="19" t="str">
        <f t="shared" si="12"/>
        <v/>
      </c>
      <c r="M75" s="19" t="str">
        <f t="shared" si="12"/>
        <v/>
      </c>
      <c r="N75" s="19" t="str">
        <f t="shared" si="12"/>
        <v/>
      </c>
      <c r="O75" s="19" t="str">
        <f t="shared" si="2"/>
        <v/>
      </c>
      <c r="P75" s="19"/>
      <c r="Q75" s="19"/>
    </row>
    <row r="76" spans="2:19" x14ac:dyDescent="0.3">
      <c r="B76" s="29" t="s">
        <v>71</v>
      </c>
      <c r="C76" s="33">
        <f>($C$7/$C$5)*$C$66/$C$73</f>
        <v>4.8241935483870966E-9</v>
      </c>
      <c r="H76" s="19" t="s">
        <v>37</v>
      </c>
      <c r="J76" s="26">
        <f t="shared" si="12"/>
        <v>4.8239999999999998</v>
      </c>
      <c r="K76" s="26" t="str">
        <f t="shared" si="12"/>
        <v/>
      </c>
      <c r="L76" s="26" t="str">
        <f t="shared" si="12"/>
        <v/>
      </c>
      <c r="M76" s="26" t="str">
        <f t="shared" si="12"/>
        <v/>
      </c>
      <c r="N76" s="26" t="str">
        <f t="shared" si="12"/>
        <v/>
      </c>
      <c r="O76" s="37" t="str">
        <f t="shared" si="2"/>
        <v>nF</v>
      </c>
      <c r="P76" s="19"/>
      <c r="Q76" s="19"/>
    </row>
    <row r="77" spans="2:19" x14ac:dyDescent="0.3">
      <c r="B77" s="29" t="s">
        <v>72</v>
      </c>
      <c r="C77" s="30">
        <v>1.2E-8</v>
      </c>
      <c r="H77" s="19" t="s">
        <v>37</v>
      </c>
      <c r="J77" s="31">
        <f t="shared" si="12"/>
        <v>12</v>
      </c>
      <c r="K77" s="31" t="str">
        <f t="shared" si="12"/>
        <v/>
      </c>
      <c r="L77" s="31" t="str">
        <f t="shared" si="12"/>
        <v/>
      </c>
      <c r="M77" s="31" t="str">
        <f t="shared" si="12"/>
        <v/>
      </c>
      <c r="N77" s="31" t="str">
        <f t="shared" si="12"/>
        <v/>
      </c>
      <c r="O77" s="32" t="str">
        <f t="shared" si="2"/>
        <v>nF</v>
      </c>
      <c r="P77" s="42" t="s">
        <v>151</v>
      </c>
      <c r="Q77" s="44" t="s">
        <v>151</v>
      </c>
      <c r="R77" s="19" t="s">
        <v>97</v>
      </c>
      <c r="S77" s="38" t="s">
        <v>115</v>
      </c>
    </row>
    <row r="78" spans="2:19" x14ac:dyDescent="0.3">
      <c r="B78" s="41" t="s">
        <v>84</v>
      </c>
      <c r="J78" s="19" t="str">
        <f t="shared" si="12"/>
        <v/>
      </c>
      <c r="K78" s="19" t="str">
        <f t="shared" si="12"/>
        <v/>
      </c>
      <c r="L78" s="19" t="str">
        <f t="shared" si="12"/>
        <v/>
      </c>
      <c r="M78" s="19" t="str">
        <f t="shared" si="12"/>
        <v/>
      </c>
      <c r="N78" s="19" t="str">
        <f t="shared" si="12"/>
        <v/>
      </c>
      <c r="O78" s="19" t="str">
        <f t="shared" si="2"/>
        <v/>
      </c>
      <c r="P78" s="19"/>
      <c r="Q78" s="19"/>
    </row>
    <row r="79" spans="2:19" x14ac:dyDescent="0.3">
      <c r="B79" s="29" t="s">
        <v>73</v>
      </c>
      <c r="C79" s="33">
        <f>(($C$67/2)*$C$66*$C$77)/($C$73*$C$77-($C$67/2)*$C$66)</f>
        <v>2.7142226491892932E-12</v>
      </c>
      <c r="H79" s="19" t="s">
        <v>37</v>
      </c>
      <c r="J79" s="26">
        <f t="shared" si="12"/>
        <v>2.714</v>
      </c>
      <c r="K79" s="26" t="str">
        <f t="shared" si="12"/>
        <v/>
      </c>
      <c r="L79" s="26" t="str">
        <f t="shared" si="12"/>
        <v/>
      </c>
      <c r="M79" s="26" t="str">
        <f t="shared" si="12"/>
        <v/>
      </c>
      <c r="N79" s="26" t="str">
        <f t="shared" si="12"/>
        <v/>
      </c>
      <c r="O79" s="37" t="str">
        <f t="shared" si="2"/>
        <v>pF</v>
      </c>
      <c r="P79" s="19"/>
      <c r="Q79" s="19"/>
    </row>
    <row r="80" spans="2:19" x14ac:dyDescent="0.3">
      <c r="B80" s="29" t="s">
        <v>74</v>
      </c>
      <c r="C80" s="30">
        <v>2.6999999999999998E-12</v>
      </c>
      <c r="H80" s="19" t="s">
        <v>37</v>
      </c>
      <c r="J80" s="31">
        <f t="shared" si="12"/>
        <v>2.7</v>
      </c>
      <c r="K80" s="31" t="str">
        <f t="shared" si="12"/>
        <v/>
      </c>
      <c r="L80" s="31" t="str">
        <f t="shared" si="12"/>
        <v/>
      </c>
      <c r="M80" s="31" t="str">
        <f t="shared" si="12"/>
        <v/>
      </c>
      <c r="N80" s="31" t="str">
        <f t="shared" si="12"/>
        <v/>
      </c>
      <c r="O80" s="32" t="str">
        <f t="shared" si="2"/>
        <v>pF</v>
      </c>
      <c r="P80" s="42" t="s">
        <v>151</v>
      </c>
      <c r="Q80" s="44" t="s">
        <v>151</v>
      </c>
      <c r="R80" s="19" t="s">
        <v>97</v>
      </c>
      <c r="S80" s="38" t="s">
        <v>122</v>
      </c>
    </row>
    <row r="81" spans="2:21" x14ac:dyDescent="0.3">
      <c r="B81" s="41" t="s">
        <v>84</v>
      </c>
      <c r="J81" s="19" t="str">
        <f t="shared" si="12"/>
        <v/>
      </c>
      <c r="K81" s="19" t="str">
        <f t="shared" si="12"/>
        <v/>
      </c>
      <c r="L81" s="19" t="str">
        <f t="shared" si="12"/>
        <v/>
      </c>
      <c r="M81" s="19" t="str">
        <f t="shared" si="12"/>
        <v/>
      </c>
      <c r="N81" s="19" t="str">
        <f t="shared" si="12"/>
        <v/>
      </c>
      <c r="O81" s="19" t="str">
        <f t="shared" si="2"/>
        <v/>
      </c>
      <c r="P81" s="19"/>
      <c r="Q81" s="19"/>
    </row>
    <row r="82" spans="2:21" x14ac:dyDescent="0.3">
      <c r="B82" s="29" t="s">
        <v>78</v>
      </c>
      <c r="C82" s="33">
        <f>1/(2*PI()*$C$66*$C$7/$C$5)</f>
        <v>2660.5640770962109</v>
      </c>
      <c r="H82" s="19" t="s">
        <v>3</v>
      </c>
      <c r="J82" s="26">
        <f t="shared" si="12"/>
        <v>2.661</v>
      </c>
      <c r="K82" s="26" t="str">
        <f t="shared" si="12"/>
        <v/>
      </c>
      <c r="L82" s="26" t="str">
        <f t="shared" si="12"/>
        <v/>
      </c>
      <c r="M82" s="26" t="str">
        <f t="shared" si="12"/>
        <v/>
      </c>
      <c r="N82" s="26" t="str">
        <f t="shared" si="12"/>
        <v/>
      </c>
      <c r="O82" s="37" t="str">
        <f t="shared" ref="O82:O85" si="13">IF(ISBLANK($H82),"",IFERROR(CHOOSE(
  INT(LOG(ABS(C82),1000)) + 6,"f","p","n","µ","m","","k","M","G","T","P"
) &amp; $H82,"-"))</f>
        <v>kHz</v>
      </c>
      <c r="P82" s="19"/>
      <c r="Q82" s="19"/>
    </row>
    <row r="83" spans="2:21" x14ac:dyDescent="0.3">
      <c r="B83" s="29" t="s">
        <v>79</v>
      </c>
      <c r="C83" s="33">
        <f>1/(2*PI()*$C$73*$C$77)</f>
        <v>1069.5896713165009</v>
      </c>
      <c r="H83" s="19" t="s">
        <v>3</v>
      </c>
      <c r="J83" s="26">
        <f t="shared" si="12"/>
        <v>1.07</v>
      </c>
      <c r="K83" s="26" t="str">
        <f t="shared" si="12"/>
        <v/>
      </c>
      <c r="L83" s="26" t="str">
        <f t="shared" si="12"/>
        <v/>
      </c>
      <c r="M83" s="26" t="str">
        <f t="shared" si="12"/>
        <v/>
      </c>
      <c r="N83" s="26" t="str">
        <f t="shared" si="12"/>
        <v/>
      </c>
      <c r="O83" s="37" t="str">
        <f t="shared" si="13"/>
        <v>kHz</v>
      </c>
      <c r="P83" s="19"/>
      <c r="Q83" s="19"/>
    </row>
    <row r="84" spans="2:21" x14ac:dyDescent="0.3">
      <c r="B84" s="29" t="s">
        <v>80</v>
      </c>
      <c r="C84" s="33">
        <f>1/(2*PI()*$C$73*(1/(1/$C$80+1/$C$77)))</f>
        <v>4754801.4621890988</v>
      </c>
      <c r="H84" s="19" t="s">
        <v>3</v>
      </c>
      <c r="J84" s="26">
        <f t="shared" si="12"/>
        <v>4.7549999999999999</v>
      </c>
      <c r="K84" s="26" t="str">
        <f t="shared" si="12"/>
        <v/>
      </c>
      <c r="L84" s="26" t="str">
        <f t="shared" si="12"/>
        <v/>
      </c>
      <c r="M84" s="26" t="str">
        <f t="shared" si="12"/>
        <v/>
      </c>
      <c r="N84" s="26" t="str">
        <f t="shared" si="12"/>
        <v/>
      </c>
      <c r="O84" s="37" t="str">
        <f t="shared" si="13"/>
        <v>MHz</v>
      </c>
      <c r="P84" s="19"/>
      <c r="Q84" s="19"/>
    </row>
    <row r="85" spans="2:21" x14ac:dyDescent="0.3">
      <c r="B85" s="29" t="s">
        <v>81</v>
      </c>
      <c r="C85" s="33">
        <f>1/($C$67*$C$66)</f>
        <v>14859392.993796203</v>
      </c>
      <c r="H85" s="19" t="s">
        <v>3</v>
      </c>
      <c r="J85" s="26">
        <f t="shared" si="12"/>
        <v>14.859</v>
      </c>
      <c r="K85" s="26" t="str">
        <f t="shared" si="12"/>
        <v/>
      </c>
      <c r="L85" s="26" t="str">
        <f t="shared" si="12"/>
        <v/>
      </c>
      <c r="M85" s="26" t="str">
        <f t="shared" si="12"/>
        <v/>
      </c>
      <c r="N85" s="26" t="str">
        <f t="shared" si="12"/>
        <v/>
      </c>
      <c r="O85" s="37" t="str">
        <f t="shared" si="13"/>
        <v>MHz</v>
      </c>
      <c r="P85" s="19"/>
      <c r="Q85" s="19"/>
    </row>
    <row r="86" spans="2:21" x14ac:dyDescent="0.3">
      <c r="B86" s="41" t="s">
        <v>84</v>
      </c>
      <c r="P86" s="19"/>
      <c r="Q86" s="19"/>
    </row>
    <row r="87" spans="2:21" x14ac:dyDescent="0.3">
      <c r="B87" s="41" t="s">
        <v>84</v>
      </c>
      <c r="P87" s="19"/>
      <c r="Q87" s="19"/>
    </row>
    <row r="88" spans="2:21" x14ac:dyDescent="0.3">
      <c r="B88" s="29" t="s">
        <v>126</v>
      </c>
      <c r="C88" s="30">
        <v>10700</v>
      </c>
      <c r="H88" s="19" t="s">
        <v>11</v>
      </c>
      <c r="J88" s="31">
        <f t="shared" ref="J88:N90" si="14">IF(ISBLANK(C88),"",IFERROR(ROUND(C88 / (
  1000 ^ INT(LOG(ABS(C88),1000)) ),3
),"-"))</f>
        <v>10.7</v>
      </c>
      <c r="K88" s="31" t="str">
        <f t="shared" si="14"/>
        <v/>
      </c>
      <c r="L88" s="31" t="str">
        <f t="shared" si="14"/>
        <v/>
      </c>
      <c r="M88" s="31" t="str">
        <f t="shared" si="14"/>
        <v/>
      </c>
      <c r="N88" s="31" t="str">
        <f t="shared" si="14"/>
        <v/>
      </c>
      <c r="O88" s="32" t="str">
        <f t="shared" ref="O88:O90" si="15">IF(ISBLANK($H88),"",IFERROR(CHOOSE(
  INT(LOG(ABS(C88),1000)) + 6,"f","p","n","µ","m","","k","M","G","T","P"
) &amp; $H88,"-"))</f>
        <v>kOhms</v>
      </c>
      <c r="P88" s="42" t="s">
        <v>151</v>
      </c>
      <c r="Q88" s="44" t="s">
        <v>151</v>
      </c>
      <c r="R88" s="19" t="s">
        <v>99</v>
      </c>
      <c r="S88" s="38" t="s">
        <v>127</v>
      </c>
      <c r="T88" s="19" t="s">
        <v>155</v>
      </c>
    </row>
    <row r="89" spans="2:21" x14ac:dyDescent="0.3">
      <c r="B89" s="29" t="s">
        <v>128</v>
      </c>
      <c r="C89" s="30">
        <v>4.7E-7</v>
      </c>
      <c r="H89" s="19" t="s">
        <v>37</v>
      </c>
      <c r="J89" s="31">
        <f t="shared" si="14"/>
        <v>470</v>
      </c>
      <c r="K89" s="31" t="str">
        <f t="shared" si="14"/>
        <v/>
      </c>
      <c r="L89" s="31" t="str">
        <f t="shared" si="14"/>
        <v/>
      </c>
      <c r="M89" s="31" t="str">
        <f t="shared" si="14"/>
        <v/>
      </c>
      <c r="N89" s="31" t="str">
        <f t="shared" si="14"/>
        <v/>
      </c>
      <c r="O89" s="32" t="str">
        <f t="shared" si="15"/>
        <v>nF</v>
      </c>
      <c r="P89" s="42" t="s">
        <v>151</v>
      </c>
      <c r="Q89" s="44" t="s">
        <v>151</v>
      </c>
      <c r="R89" s="19" t="s">
        <v>97</v>
      </c>
      <c r="S89" s="38" t="s">
        <v>129</v>
      </c>
    </row>
    <row r="90" spans="2:21" x14ac:dyDescent="0.3">
      <c r="B90" s="29" t="s">
        <v>130</v>
      </c>
      <c r="C90" s="30">
        <v>1.2E-8</v>
      </c>
      <c r="H90" s="19" t="s">
        <v>37</v>
      </c>
      <c r="J90" s="31">
        <f t="shared" si="14"/>
        <v>12</v>
      </c>
      <c r="K90" s="31" t="str">
        <f t="shared" si="14"/>
        <v/>
      </c>
      <c r="L90" s="31" t="str">
        <f t="shared" si="14"/>
        <v/>
      </c>
      <c r="M90" s="31" t="str">
        <f t="shared" si="14"/>
        <v/>
      </c>
      <c r="N90" s="31" t="str">
        <f t="shared" si="14"/>
        <v/>
      </c>
      <c r="O90" s="32" t="str">
        <f t="shared" si="15"/>
        <v>nF</v>
      </c>
      <c r="P90" s="42" t="s">
        <v>151</v>
      </c>
      <c r="Q90" s="44" t="s">
        <v>151</v>
      </c>
      <c r="R90" s="19" t="s">
        <v>97</v>
      </c>
      <c r="S90" s="38" t="s">
        <v>115</v>
      </c>
    </row>
    <row r="91" spans="2:21" x14ac:dyDescent="0.3">
      <c r="B91" s="41" t="s">
        <v>84</v>
      </c>
      <c r="P91" s="19"/>
      <c r="Q91" s="19"/>
    </row>
    <row r="92" spans="2:21" x14ac:dyDescent="0.3">
      <c r="B92" s="29" t="s">
        <v>131</v>
      </c>
      <c r="C92" s="30">
        <v>4.7E-7</v>
      </c>
      <c r="H92" s="19" t="s">
        <v>37</v>
      </c>
      <c r="J92" s="31">
        <f t="shared" ref="J92:N93" si="16">IF(ISBLANK(C92),"",IFERROR(ROUND(C92 / (
  1000 ^ INT(LOG(ABS(C92),1000)) ),3
),"-"))</f>
        <v>470</v>
      </c>
      <c r="K92" s="31" t="str">
        <f t="shared" si="16"/>
        <v/>
      </c>
      <c r="L92" s="31" t="str">
        <f t="shared" si="16"/>
        <v/>
      </c>
      <c r="M92" s="31" t="str">
        <f t="shared" si="16"/>
        <v/>
      </c>
      <c r="N92" s="31" t="str">
        <f t="shared" si="16"/>
        <v/>
      </c>
      <c r="O92" s="32" t="str">
        <f t="shared" ref="O92:O93" si="17">IF(ISBLANK($H92),"",IFERROR(CHOOSE(
  INT(LOG(ABS(C92),1000)) + 6,"f","p","n","µ","m","","k","M","G","T","P"
) &amp; $H92,"-"))</f>
        <v>nF</v>
      </c>
      <c r="P92" s="42" t="s">
        <v>151</v>
      </c>
      <c r="Q92" s="44" t="s">
        <v>151</v>
      </c>
      <c r="R92" s="19" t="s">
        <v>97</v>
      </c>
      <c r="S92" s="38" t="s">
        <v>129</v>
      </c>
    </row>
    <row r="93" spans="2:21" x14ac:dyDescent="0.3">
      <c r="B93" s="29" t="s">
        <v>132</v>
      </c>
      <c r="C93" s="30">
        <v>9.9999999999999995E-8</v>
      </c>
      <c r="H93" s="19" t="s">
        <v>37</v>
      </c>
      <c r="J93" s="31">
        <f t="shared" si="16"/>
        <v>100</v>
      </c>
      <c r="K93" s="31" t="str">
        <f t="shared" si="16"/>
        <v/>
      </c>
      <c r="L93" s="31" t="str">
        <f t="shared" si="16"/>
        <v/>
      </c>
      <c r="M93" s="31" t="str">
        <f t="shared" si="16"/>
        <v/>
      </c>
      <c r="N93" s="31" t="str">
        <f t="shared" si="16"/>
        <v/>
      </c>
      <c r="O93" s="32" t="str">
        <f t="shared" si="17"/>
        <v>nF</v>
      </c>
      <c r="P93" s="42" t="s">
        <v>151</v>
      </c>
      <c r="Q93" s="44" t="s">
        <v>151</v>
      </c>
      <c r="R93" s="19" t="s">
        <v>97</v>
      </c>
      <c r="S93" s="38" t="s">
        <v>133</v>
      </c>
      <c r="T93" s="19" t="s">
        <v>156</v>
      </c>
    </row>
    <row r="94" spans="2:21" x14ac:dyDescent="0.3">
      <c r="B94" s="41" t="s">
        <v>84</v>
      </c>
      <c r="P94" s="19"/>
      <c r="Q94" s="19"/>
    </row>
    <row r="95" spans="2:21" x14ac:dyDescent="0.3">
      <c r="B95" s="29" t="s">
        <v>134</v>
      </c>
      <c r="C95" s="30">
        <v>10</v>
      </c>
      <c r="H95" s="19" t="s">
        <v>11</v>
      </c>
      <c r="J95" s="31">
        <f t="shared" ref="J95:N97" si="18">IF(ISBLANK(C95),"",IFERROR(ROUND(C95 / (
  1000 ^ INT(LOG(ABS(C95),1000)) ),3
),"-"))</f>
        <v>10</v>
      </c>
      <c r="K95" s="31" t="str">
        <f t="shared" si="18"/>
        <v/>
      </c>
      <c r="L95" s="31" t="str">
        <f t="shared" si="18"/>
        <v/>
      </c>
      <c r="M95" s="31" t="str">
        <f t="shared" si="18"/>
        <v/>
      </c>
      <c r="N95" s="31" t="str">
        <f t="shared" si="18"/>
        <v/>
      </c>
      <c r="O95" s="32" t="str">
        <f t="shared" ref="O95:O97" si="19">IF(ISBLANK($H95),"",IFERROR(CHOOSE(
  INT(LOG(ABS(C95),1000)) + 6,"f","p","n","µ","m","","k","M","G","T","P"
) &amp; $H95,"-"))</f>
        <v>Ohms</v>
      </c>
      <c r="P95" s="42" t="s">
        <v>151</v>
      </c>
      <c r="Q95" s="44" t="s">
        <v>151</v>
      </c>
      <c r="R95" s="19" t="s">
        <v>99</v>
      </c>
      <c r="S95" s="38" t="s">
        <v>135</v>
      </c>
      <c r="U95" s="19" t="s">
        <v>136</v>
      </c>
    </row>
    <row r="96" spans="2:21" x14ac:dyDescent="0.3">
      <c r="B96" s="29" t="s">
        <v>138</v>
      </c>
      <c r="C96" s="30">
        <v>10</v>
      </c>
      <c r="H96" s="19" t="s">
        <v>11</v>
      </c>
      <c r="J96" s="31">
        <f t="shared" si="18"/>
        <v>10</v>
      </c>
      <c r="K96" s="31" t="str">
        <f t="shared" si="18"/>
        <v/>
      </c>
      <c r="L96" s="31" t="str">
        <f t="shared" si="18"/>
        <v/>
      </c>
      <c r="M96" s="31" t="str">
        <f t="shared" si="18"/>
        <v/>
      </c>
      <c r="N96" s="31" t="str">
        <f t="shared" si="18"/>
        <v/>
      </c>
      <c r="O96" s="32" t="str">
        <f>IF(ISBLANK($H96),"",IFERROR(CHOOSE(
  INT(LOG(ABS(C96),1000)) + 6,"f","p","n","µ","m","","k","M","G","T","P"
) &amp; $H96,"-"))</f>
        <v>Ohms</v>
      </c>
      <c r="P96" s="42" t="s">
        <v>151</v>
      </c>
      <c r="Q96" s="44" t="s">
        <v>151</v>
      </c>
      <c r="R96" s="19" t="s">
        <v>99</v>
      </c>
      <c r="S96" s="38" t="s">
        <v>135</v>
      </c>
      <c r="U96" s="19" t="s">
        <v>139</v>
      </c>
    </row>
    <row r="97" spans="2:19" x14ac:dyDescent="0.3">
      <c r="B97" s="29" t="s">
        <v>137</v>
      </c>
      <c r="C97" s="30">
        <v>1.2E-8</v>
      </c>
      <c r="H97" s="19" t="s">
        <v>37</v>
      </c>
      <c r="J97" s="31">
        <f t="shared" si="18"/>
        <v>12</v>
      </c>
      <c r="K97" s="31" t="str">
        <f t="shared" si="18"/>
        <v/>
      </c>
      <c r="L97" s="31" t="str">
        <f t="shared" si="18"/>
        <v/>
      </c>
      <c r="M97" s="31" t="str">
        <f t="shared" si="18"/>
        <v/>
      </c>
      <c r="N97" s="31" t="str">
        <f t="shared" si="18"/>
        <v/>
      </c>
      <c r="O97" s="32" t="str">
        <f t="shared" si="19"/>
        <v>nF</v>
      </c>
      <c r="P97" s="42" t="s">
        <v>151</v>
      </c>
      <c r="Q97" s="44" t="s">
        <v>151</v>
      </c>
      <c r="R97" s="19" t="s">
        <v>97</v>
      </c>
      <c r="S97" s="38" t="s">
        <v>115</v>
      </c>
    </row>
    <row r="98" spans="2:19" x14ac:dyDescent="0.3">
      <c r="B98" s="41" t="s">
        <v>84</v>
      </c>
      <c r="P98" s="19"/>
      <c r="Q98" s="19"/>
    </row>
    <row r="99" spans="2:19" x14ac:dyDescent="0.3">
      <c r="B99" s="29" t="s">
        <v>141</v>
      </c>
      <c r="C99" s="30"/>
      <c r="J99" s="31" t="str">
        <f t="shared" ref="J99:N102" si="20">IF(ISBLANK(C99),"",IFERROR(ROUND(C99 / (
  1000 ^ INT(LOG(ABS(C99),1000)) ),3
),"-"))</f>
        <v/>
      </c>
      <c r="K99" s="31" t="str">
        <f t="shared" si="20"/>
        <v/>
      </c>
      <c r="L99" s="31" t="str">
        <f t="shared" si="20"/>
        <v/>
      </c>
      <c r="M99" s="31" t="str">
        <f t="shared" si="20"/>
        <v/>
      </c>
      <c r="N99" s="31" t="str">
        <f t="shared" si="20"/>
        <v/>
      </c>
      <c r="O99" s="32" t="str">
        <f t="shared" ref="O99:O102" si="21">IF(ISBLANK($H99),"",IFERROR(CHOOSE(
  INT(LOG(ABS(C99),1000)) + 6,"f","p","n","µ","m","","k","M","G","T","P"
) &amp; $H99,"-"))</f>
        <v/>
      </c>
      <c r="P99" s="42" t="s">
        <v>151</v>
      </c>
      <c r="Q99" s="44" t="s">
        <v>151</v>
      </c>
      <c r="R99" s="19" t="s">
        <v>144</v>
      </c>
      <c r="S99" s="38" t="s">
        <v>145</v>
      </c>
    </row>
    <row r="100" spans="2:19" x14ac:dyDescent="0.3">
      <c r="B100" s="29" t="s">
        <v>140</v>
      </c>
      <c r="C100" s="30"/>
      <c r="J100" s="31" t="str">
        <f t="shared" si="20"/>
        <v/>
      </c>
      <c r="K100" s="31" t="str">
        <f t="shared" si="20"/>
        <v/>
      </c>
      <c r="L100" s="31" t="str">
        <f t="shared" si="20"/>
        <v/>
      </c>
      <c r="M100" s="31" t="str">
        <f t="shared" si="20"/>
        <v/>
      </c>
      <c r="N100" s="31" t="str">
        <f t="shared" si="20"/>
        <v/>
      </c>
      <c r="O100" s="32" t="str">
        <f t="shared" si="21"/>
        <v/>
      </c>
      <c r="P100" s="42" t="s">
        <v>151</v>
      </c>
      <c r="Q100" s="44" t="s">
        <v>151</v>
      </c>
      <c r="R100" s="19" t="s">
        <v>144</v>
      </c>
      <c r="S100" s="38" t="s">
        <v>145</v>
      </c>
    </row>
    <row r="101" spans="2:19" x14ac:dyDescent="0.3">
      <c r="B101" s="29" t="s">
        <v>142</v>
      </c>
      <c r="C101" s="30"/>
      <c r="J101" s="31" t="str">
        <f t="shared" si="20"/>
        <v/>
      </c>
      <c r="K101" s="31" t="str">
        <f t="shared" si="20"/>
        <v/>
      </c>
      <c r="L101" s="31" t="str">
        <f t="shared" si="20"/>
        <v/>
      </c>
      <c r="M101" s="31" t="str">
        <f t="shared" si="20"/>
        <v/>
      </c>
      <c r="N101" s="31" t="str">
        <f t="shared" si="20"/>
        <v/>
      </c>
      <c r="O101" s="32" t="str">
        <f t="shared" si="21"/>
        <v/>
      </c>
      <c r="P101" s="42" t="s">
        <v>151</v>
      </c>
      <c r="Q101" s="44" t="s">
        <v>151</v>
      </c>
      <c r="R101" s="19" t="s">
        <v>146</v>
      </c>
      <c r="S101" s="38" t="s">
        <v>147</v>
      </c>
    </row>
    <row r="102" spans="2:19" x14ac:dyDescent="0.3">
      <c r="B102" s="29" t="s">
        <v>143</v>
      </c>
      <c r="C102" s="30"/>
      <c r="J102" s="31" t="str">
        <f t="shared" si="20"/>
        <v/>
      </c>
      <c r="K102" s="31" t="str">
        <f t="shared" si="20"/>
        <v/>
      </c>
      <c r="L102" s="31" t="str">
        <f t="shared" si="20"/>
        <v/>
      </c>
      <c r="M102" s="31" t="str">
        <f t="shared" si="20"/>
        <v/>
      </c>
      <c r="N102" s="31" t="str">
        <f t="shared" si="20"/>
        <v/>
      </c>
      <c r="O102" s="32" t="str">
        <f t="shared" si="21"/>
        <v/>
      </c>
      <c r="P102" s="42" t="s">
        <v>151</v>
      </c>
      <c r="Q102" s="44" t="s">
        <v>151</v>
      </c>
      <c r="R102" s="19" t="s">
        <v>146</v>
      </c>
      <c r="S102" s="38" t="s">
        <v>147</v>
      </c>
    </row>
    <row r="103" spans="2:19" x14ac:dyDescent="0.3">
      <c r="B103" s="41" t="s">
        <v>84</v>
      </c>
      <c r="P103" s="19"/>
      <c r="Q103" s="19"/>
    </row>
    <row r="104" spans="2:19" x14ac:dyDescent="0.3">
      <c r="B104" s="29" t="s">
        <v>148</v>
      </c>
      <c r="C104" s="30"/>
      <c r="J104" s="31" t="str">
        <f t="shared" ref="J104:N104" si="22">IF(ISBLANK(C104),"",IFERROR(ROUND(C104 / (
  1000 ^ INT(LOG(ABS(C104),1000)) ),3
),"-"))</f>
        <v/>
      </c>
      <c r="K104" s="31" t="str">
        <f t="shared" si="22"/>
        <v/>
      </c>
      <c r="L104" s="31" t="str">
        <f t="shared" si="22"/>
        <v/>
      </c>
      <c r="M104" s="31" t="str">
        <f t="shared" si="22"/>
        <v/>
      </c>
      <c r="N104" s="31" t="str">
        <f t="shared" si="22"/>
        <v/>
      </c>
      <c r="O104" s="32" t="str">
        <f t="shared" ref="O104" si="23">IF(ISBLANK($H104),"",IFERROR(CHOOSE(
  INT(LOG(ABS(C104),1000)) + 6,"f","p","n","µ","m","","k","M","G","T","P"
) &amp; $H104,"-"))</f>
        <v/>
      </c>
      <c r="P104" s="42" t="s">
        <v>151</v>
      </c>
      <c r="Q104" s="44" t="s">
        <v>151</v>
      </c>
      <c r="R104" s="19" t="s">
        <v>146</v>
      </c>
      <c r="S104" s="38" t="s">
        <v>149</v>
      </c>
    </row>
  </sheetData>
  <autoFilter ref="B2:U104" xr:uid="{2D90997A-12E2-4F6A-8EA8-4C3231C7DB40}"/>
  <mergeCells count="1">
    <mergeCell ref="J1:N1"/>
  </mergeCells>
  <hyperlinks>
    <hyperlink ref="S30" r:id="rId1" xr:uid="{2B097190-067F-45C1-B5FF-0807E4677062}"/>
    <hyperlink ref="S21" r:id="rId2" xr:uid="{08B066DD-CD4B-4E71-BC38-F94D56B7B1DA}"/>
    <hyperlink ref="S35" r:id="rId3" xr:uid="{3AC5E03C-1E33-4784-99B3-2C77A8013359}"/>
    <hyperlink ref="S37" r:id="rId4" xr:uid="{7485D10C-4BC9-41A6-914B-44738EF6AF6E}"/>
    <hyperlink ref="S42" r:id="rId5" xr:uid="{61FAD7B0-2B31-44DA-A611-6D258B9BA145}"/>
    <hyperlink ref="S44" r:id="rId6" xr:uid="{FB20F2F2-907C-4428-9CBF-DE739A0E0EAF}"/>
    <hyperlink ref="S49" r:id="rId7" xr:uid="{96B38554-ED54-4D16-9B33-561F7BA2C8F5}"/>
    <hyperlink ref="S61" r:id="rId8" xr:uid="{4F3305B5-2C4E-4AAC-85F2-A96CB2824052}"/>
    <hyperlink ref="S73" r:id="rId9" xr:uid="{5B5EF78C-7130-438D-90F2-1CE584F8E03B}"/>
    <hyperlink ref="S80" r:id="rId10" xr:uid="{DA5BA217-6CB6-4010-ADBB-37317A2E5F4E}"/>
    <hyperlink ref="S77" r:id="rId11" xr:uid="{AED18C2D-5A8C-4199-BC2E-A1F1790B2BB0}"/>
    <hyperlink ref="S8" r:id="rId12" xr:uid="{75851BB9-0FD4-4BD4-8E03-22113825C498}"/>
    <hyperlink ref="S10" r:id="rId13" xr:uid="{148DC951-8134-480A-8ED7-6285915D3153}"/>
    <hyperlink ref="S88" r:id="rId14" xr:uid="{D95DC5EE-C7AE-4314-AFEB-EE56A0655C7C}"/>
    <hyperlink ref="S89" r:id="rId15" xr:uid="{A4FD12B7-6769-47CA-B303-5183D2E75154}"/>
    <hyperlink ref="S92" r:id="rId16" xr:uid="{C3C39079-6BD7-45EC-85CB-55CAB9DE658C}"/>
    <hyperlink ref="S93" r:id="rId17" xr:uid="{5F9B2332-2107-497C-ABAE-AC01A816F398}"/>
    <hyperlink ref="S90" r:id="rId18" xr:uid="{5ADAA115-52B2-46E2-9174-1D3B598F3BA6}"/>
    <hyperlink ref="S95" r:id="rId19" xr:uid="{F88B544E-71A0-411E-A279-C9020D9C1AE3}"/>
    <hyperlink ref="S97" r:id="rId20" xr:uid="{12068F5D-5156-48D7-BB33-98B70DACFE57}"/>
    <hyperlink ref="S96" r:id="rId21" xr:uid="{82A869E2-E07F-420E-9D48-C6EBE1CBEBC9}"/>
    <hyperlink ref="S99" r:id="rId22" xr:uid="{D52BBE39-C527-4744-92C5-B41AD6382AA3}"/>
    <hyperlink ref="S101" r:id="rId23" xr:uid="{97F02420-E7DC-4D89-9FC2-759CB01BAB7F}"/>
    <hyperlink ref="S100" r:id="rId24" xr:uid="{C4FF6632-9885-45A1-8C4D-905F627F9EDB}"/>
    <hyperlink ref="S102" r:id="rId25" xr:uid="{161792EC-4E2A-4031-8039-88745D0FCCFF}"/>
    <hyperlink ref="S104" r:id="rId26" xr:uid="{FF915DBC-3682-4C2C-ACC3-F38F9AD892E9}"/>
  </hyperlinks>
  <pageMargins left="0.7" right="0.7" top="0.75" bottom="0.75" header="0.3" footer="0.3"/>
  <pageSetup paperSize="119" orientation="landscape" r:id="rId2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D5D63-9668-4D8F-ABA0-131E2967F31A}">
  <dimension ref="B1:U104"/>
  <sheetViews>
    <sheetView tabSelected="1" topLeftCell="A40" zoomScaleNormal="100" workbookViewId="0">
      <selection activeCell="C72" sqref="C72"/>
    </sheetView>
  </sheetViews>
  <sheetFormatPr defaultColWidth="8.88671875" defaultRowHeight="14.4" x14ac:dyDescent="0.3"/>
  <cols>
    <col min="1" max="1" width="8.88671875" style="19"/>
    <col min="2" max="2" width="20.6640625" style="24" bestFit="1" customWidth="1"/>
    <col min="3" max="10" width="12.77734375" style="19" customWidth="1"/>
    <col min="11" max="14" width="12.77734375" style="19" hidden="1" customWidth="1"/>
    <col min="15" max="15" width="12.77734375" style="19" customWidth="1"/>
    <col min="16" max="17" width="10.109375" style="42" bestFit="1" customWidth="1"/>
    <col min="18" max="18" width="20.6640625" style="19" bestFit="1" customWidth="1"/>
    <col min="19" max="19" width="22" style="19" bestFit="1" customWidth="1"/>
    <col min="20" max="20" width="16.88671875" style="19" bestFit="1" customWidth="1"/>
    <col min="21" max="16384" width="8.88671875" style="19"/>
  </cols>
  <sheetData>
    <row r="1" spans="2:21" x14ac:dyDescent="0.3">
      <c r="J1" s="46" t="s">
        <v>8</v>
      </c>
      <c r="K1" s="46"/>
      <c r="L1" s="46"/>
      <c r="M1" s="46"/>
      <c r="N1" s="46"/>
    </row>
    <row r="2" spans="2:21" x14ac:dyDescent="0.3">
      <c r="B2" s="21" t="s">
        <v>150</v>
      </c>
      <c r="C2" s="45" t="s">
        <v>22</v>
      </c>
      <c r="D2" s="45" t="s">
        <v>23</v>
      </c>
      <c r="E2" s="45" t="s">
        <v>82</v>
      </c>
      <c r="F2" s="45" t="s">
        <v>83</v>
      </c>
      <c r="G2" s="45" t="s">
        <v>24</v>
      </c>
      <c r="H2" s="45" t="s">
        <v>9</v>
      </c>
      <c r="J2" s="21" t="s">
        <v>22</v>
      </c>
      <c r="K2" s="21" t="s">
        <v>23</v>
      </c>
      <c r="L2" s="21" t="s">
        <v>82</v>
      </c>
      <c r="M2" s="21" t="s">
        <v>83</v>
      </c>
      <c r="N2" s="21" t="s">
        <v>24</v>
      </c>
      <c r="O2" s="22" t="s">
        <v>9</v>
      </c>
      <c r="P2" s="45" t="s">
        <v>152</v>
      </c>
      <c r="Q2" s="45" t="s">
        <v>22</v>
      </c>
      <c r="R2" s="23" t="s">
        <v>87</v>
      </c>
      <c r="S2" s="23" t="s">
        <v>88</v>
      </c>
      <c r="T2" s="23" t="s">
        <v>153</v>
      </c>
      <c r="U2" s="23" t="s">
        <v>15</v>
      </c>
    </row>
    <row r="3" spans="2:21" x14ac:dyDescent="0.3">
      <c r="B3" s="24" t="s">
        <v>21</v>
      </c>
      <c r="C3" s="28">
        <f>MAX(D3:G3)</f>
        <v>52</v>
      </c>
      <c r="D3" s="25">
        <v>20</v>
      </c>
      <c r="E3" s="25">
        <v>24</v>
      </c>
      <c r="F3" s="25">
        <v>36</v>
      </c>
      <c r="G3" s="25">
        <v>52</v>
      </c>
      <c r="H3" s="19" t="s">
        <v>0</v>
      </c>
      <c r="J3" s="26">
        <f>IF(ISBLANK(C3),"",IFERROR(ROUND(C3 / (
  1000 ^ INT(LOG(ABS(C3),1000)) ),3
),"-"))</f>
        <v>52</v>
      </c>
      <c r="K3" s="26">
        <f>IF(ISBLANK(D3),"",IFERROR(ROUND(D3 / (
  1000 ^ INT(LOG(ABS(D3),1000)) ),3
),"-"))</f>
        <v>20</v>
      </c>
      <c r="L3" s="26">
        <f>IF(ISBLANK(E3),"",IFERROR(ROUND(E3 / (
  1000 ^ INT(LOG(ABS(E3),1000)) ),3
),"-"))</f>
        <v>24</v>
      </c>
      <c r="M3" s="26">
        <f>IF(ISBLANK(F3),"",IFERROR(ROUND(F3 / (
  1000 ^ INT(LOG(ABS(F3),1000)) ),3
),"-"))</f>
        <v>36</v>
      </c>
      <c r="N3" s="26">
        <f>IF(ISBLANK(G3),"",IFERROR(ROUND(G3 / (
  1000 ^ INT(LOG(ABS(G3),1000)) ),3
),"-"))</f>
        <v>52</v>
      </c>
      <c r="O3" s="27" t="str">
        <f>IF(ISBLANK($H3),"",IFERROR(CHOOSE(
  INT(LOG(ABS(C5),1000)) + 6,"f","p","n","µ","m","","k","M","G","T","P"
) &amp; $H3,"-"))</f>
        <v>mV</v>
      </c>
      <c r="P3" s="19"/>
      <c r="Q3" s="19"/>
    </row>
    <row r="4" spans="2:21" x14ac:dyDescent="0.3">
      <c r="B4" s="24" t="s">
        <v>20</v>
      </c>
      <c r="C4" s="28">
        <f>MIN(D3:G3)</f>
        <v>20</v>
      </c>
      <c r="H4" s="19" t="s">
        <v>0</v>
      </c>
      <c r="J4" s="26">
        <f>IF(ISBLANK(C4),"",IFERROR(ROUND(C4 / (
  1000 ^ INT(LOG(ABS(C4),1000)) ),3
),"-"))</f>
        <v>20</v>
      </c>
      <c r="K4" s="26" t="str">
        <f t="shared" ref="K4:N19" si="0">IF(ISBLANK(D4),"",IFERROR(ROUND(D4 / (
  1000 ^ INT(LOG(ABS(D4),1000)) ),3
),"-"))</f>
        <v/>
      </c>
      <c r="L4" s="26" t="str">
        <f t="shared" si="0"/>
        <v/>
      </c>
      <c r="M4" s="26" t="str">
        <f t="shared" si="0"/>
        <v/>
      </c>
      <c r="N4" s="26" t="str">
        <f t="shared" si="0"/>
        <v/>
      </c>
      <c r="O4" s="27" t="str">
        <f>IF(ISBLANK($H4),"",IFERROR(CHOOSE(
  INT(LOG(ABS(C4),1000)) + 6,"f","p","n","µ","m","","k","M","G","T","P"
) &amp; $H4,"-"))</f>
        <v>V</v>
      </c>
      <c r="P4" s="19"/>
      <c r="Q4" s="19"/>
    </row>
    <row r="5" spans="2:21" x14ac:dyDescent="0.3">
      <c r="B5" s="24" t="s">
        <v>10</v>
      </c>
      <c r="C5" s="25">
        <v>0.25</v>
      </c>
      <c r="H5" s="19" t="s">
        <v>1</v>
      </c>
      <c r="J5" s="26">
        <f t="shared" ref="J5:N20" si="1">IF(ISBLANK(C5),"",IFERROR(ROUND(C5 / (
  1000 ^ INT(LOG(ABS(C5),1000)) ),3
),"-"))</f>
        <v>250</v>
      </c>
      <c r="K5" s="26" t="str">
        <f t="shared" si="0"/>
        <v/>
      </c>
      <c r="L5" s="26" t="str">
        <f t="shared" si="0"/>
        <v/>
      </c>
      <c r="M5" s="26" t="str">
        <f t="shared" si="0"/>
        <v/>
      </c>
      <c r="N5" s="26" t="str">
        <f t="shared" si="0"/>
        <v/>
      </c>
      <c r="O5" s="27" t="str">
        <f t="shared" ref="O5:O81" si="2">IF(ISBLANK($H5),"",IFERROR(CHOOSE(
  INT(LOG(ABS(C5),1000)) + 6,"f","p","n","µ","m","","k","M","G","T","P"
) &amp; $H5,"-"))</f>
        <v>mA</v>
      </c>
      <c r="P5" s="19"/>
      <c r="Q5" s="19"/>
    </row>
    <row r="6" spans="2:21" x14ac:dyDescent="0.3">
      <c r="B6" s="41" t="s">
        <v>84</v>
      </c>
      <c r="J6" s="26" t="str">
        <f t="shared" si="1"/>
        <v/>
      </c>
      <c r="K6" s="26" t="str">
        <f t="shared" si="0"/>
        <v/>
      </c>
      <c r="L6" s="26" t="str">
        <f t="shared" si="0"/>
        <v/>
      </c>
      <c r="M6" s="26" t="str">
        <f t="shared" si="0"/>
        <v/>
      </c>
      <c r="N6" s="26" t="str">
        <f t="shared" si="0"/>
        <v/>
      </c>
      <c r="O6" s="27" t="str">
        <f t="shared" si="2"/>
        <v/>
      </c>
      <c r="P6" s="19"/>
      <c r="Q6" s="19"/>
    </row>
    <row r="7" spans="2:21" x14ac:dyDescent="0.3">
      <c r="B7" s="24" t="s">
        <v>60</v>
      </c>
      <c r="C7" s="25">
        <v>5</v>
      </c>
      <c r="H7" s="19" t="s">
        <v>0</v>
      </c>
      <c r="J7" s="26">
        <f t="shared" si="1"/>
        <v>5</v>
      </c>
      <c r="K7" s="26" t="str">
        <f t="shared" si="0"/>
        <v/>
      </c>
      <c r="L7" s="26" t="str">
        <f t="shared" si="0"/>
        <v/>
      </c>
      <c r="M7" s="26" t="str">
        <f t="shared" si="0"/>
        <v/>
      </c>
      <c r="N7" s="26" t="str">
        <f t="shared" si="0"/>
        <v/>
      </c>
      <c r="O7" s="27" t="str">
        <f t="shared" si="2"/>
        <v>V</v>
      </c>
      <c r="P7" s="19"/>
      <c r="Q7" s="19"/>
    </row>
    <row r="8" spans="2:21" x14ac:dyDescent="0.3">
      <c r="B8" s="29" t="s">
        <v>61</v>
      </c>
      <c r="C8" s="30">
        <v>4990</v>
      </c>
      <c r="H8" s="19" t="s">
        <v>11</v>
      </c>
      <c r="J8" s="31">
        <f t="shared" si="1"/>
        <v>4.99</v>
      </c>
      <c r="K8" s="31" t="str">
        <f t="shared" si="0"/>
        <v/>
      </c>
      <c r="L8" s="31" t="str">
        <f t="shared" si="0"/>
        <v/>
      </c>
      <c r="M8" s="31" t="str">
        <f t="shared" si="0"/>
        <v/>
      </c>
      <c r="N8" s="31" t="str">
        <f t="shared" si="0"/>
        <v/>
      </c>
      <c r="O8" s="32" t="str">
        <f t="shared" si="2"/>
        <v>kOhms</v>
      </c>
      <c r="P8" s="42" t="s">
        <v>151</v>
      </c>
      <c r="Q8" s="44" t="s">
        <v>151</v>
      </c>
      <c r="R8" s="19" t="s">
        <v>99</v>
      </c>
      <c r="S8" s="38" t="s">
        <v>123</v>
      </c>
      <c r="T8" s="19" t="s">
        <v>154</v>
      </c>
    </row>
    <row r="9" spans="2:21" x14ac:dyDescent="0.3">
      <c r="B9" s="29" t="s">
        <v>62</v>
      </c>
      <c r="C9" s="33">
        <f>$C$8/($C$7/0.8-1)</f>
        <v>950.47619047619048</v>
      </c>
      <c r="H9" s="19" t="s">
        <v>11</v>
      </c>
      <c r="J9" s="26">
        <f t="shared" si="1"/>
        <v>950.476</v>
      </c>
      <c r="K9" s="26" t="str">
        <f t="shared" si="0"/>
        <v/>
      </c>
      <c r="L9" s="26" t="str">
        <f t="shared" si="0"/>
        <v/>
      </c>
      <c r="M9" s="26" t="str">
        <f t="shared" si="0"/>
        <v/>
      </c>
      <c r="N9" s="26" t="str">
        <f t="shared" si="0"/>
        <v/>
      </c>
      <c r="O9" s="27" t="str">
        <f t="shared" si="2"/>
        <v>Ohms</v>
      </c>
      <c r="P9" s="19"/>
      <c r="Q9" s="19"/>
    </row>
    <row r="10" spans="2:21" ht="15" thickBot="1" x14ac:dyDescent="0.35">
      <c r="B10" s="29" t="s">
        <v>63</v>
      </c>
      <c r="C10" s="25">
        <v>953</v>
      </c>
      <c r="H10" s="19" t="s">
        <v>11</v>
      </c>
      <c r="J10" s="31">
        <f t="shared" si="1"/>
        <v>953</v>
      </c>
      <c r="K10" s="31" t="str">
        <f t="shared" si="0"/>
        <v/>
      </c>
      <c r="L10" s="31" t="str">
        <f t="shared" si="0"/>
        <v/>
      </c>
      <c r="M10" s="31" t="str">
        <f t="shared" si="0"/>
        <v/>
      </c>
      <c r="N10" s="31" t="str">
        <f t="shared" si="0"/>
        <v/>
      </c>
      <c r="O10" s="32" t="str">
        <f t="shared" si="2"/>
        <v>Ohms</v>
      </c>
      <c r="P10" s="42" t="s">
        <v>151</v>
      </c>
      <c r="Q10" s="44" t="s">
        <v>151</v>
      </c>
      <c r="R10" s="19" t="s">
        <v>99</v>
      </c>
      <c r="S10" s="38" t="s">
        <v>124</v>
      </c>
    </row>
    <row r="11" spans="2:21" ht="15.6" thickTop="1" thickBot="1" x14ac:dyDescent="0.35">
      <c r="B11" s="29" t="s">
        <v>64</v>
      </c>
      <c r="C11" s="34">
        <f>0.8*($C$8/$C$10+1)</f>
        <v>4.9888772298006296</v>
      </c>
      <c r="H11" s="19" t="s">
        <v>0</v>
      </c>
      <c r="J11" s="26">
        <f t="shared" si="1"/>
        <v>4.9889999999999999</v>
      </c>
      <c r="K11" s="26" t="str">
        <f t="shared" si="0"/>
        <v/>
      </c>
      <c r="L11" s="26" t="str">
        <f t="shared" si="0"/>
        <v/>
      </c>
      <c r="M11" s="26" t="str">
        <f t="shared" si="0"/>
        <v/>
      </c>
      <c r="N11" s="26" t="str">
        <f t="shared" si="0"/>
        <v/>
      </c>
      <c r="O11" s="27" t="str">
        <f t="shared" si="2"/>
        <v>V</v>
      </c>
      <c r="P11" s="19"/>
      <c r="Q11" s="19"/>
    </row>
    <row r="12" spans="2:21" ht="15" thickTop="1" x14ac:dyDescent="0.3">
      <c r="B12" s="41" t="s">
        <v>84</v>
      </c>
      <c r="J12" s="19" t="str">
        <f t="shared" si="1"/>
        <v/>
      </c>
      <c r="K12" s="19" t="str">
        <f t="shared" si="0"/>
        <v/>
      </c>
      <c r="L12" s="19" t="str">
        <f t="shared" si="0"/>
        <v/>
      </c>
      <c r="M12" s="19" t="str">
        <f t="shared" si="0"/>
        <v/>
      </c>
      <c r="N12" s="19" t="str">
        <f t="shared" si="0"/>
        <v/>
      </c>
      <c r="O12" s="19" t="str">
        <f t="shared" si="2"/>
        <v/>
      </c>
      <c r="P12" s="19"/>
      <c r="Q12" s="19"/>
    </row>
    <row r="13" spans="2:21" x14ac:dyDescent="0.3">
      <c r="B13" s="24" t="s">
        <v>2</v>
      </c>
      <c r="C13" s="30">
        <v>450000</v>
      </c>
      <c r="H13" s="19" t="s">
        <v>3</v>
      </c>
      <c r="J13" s="26">
        <f t="shared" si="1"/>
        <v>450</v>
      </c>
      <c r="K13" s="26" t="str">
        <f t="shared" si="0"/>
        <v/>
      </c>
      <c r="L13" s="26" t="str">
        <f t="shared" si="0"/>
        <v/>
      </c>
      <c r="M13" s="26" t="str">
        <f t="shared" si="0"/>
        <v/>
      </c>
      <c r="N13" s="26" t="str">
        <f t="shared" si="0"/>
        <v/>
      </c>
      <c r="O13" s="27" t="str">
        <f t="shared" si="2"/>
        <v>kHz</v>
      </c>
      <c r="P13" s="19"/>
      <c r="Q13" s="19"/>
      <c r="U13" s="19" t="s">
        <v>85</v>
      </c>
    </row>
    <row r="14" spans="2:21" x14ac:dyDescent="0.3">
      <c r="B14" s="24" t="s">
        <v>4</v>
      </c>
      <c r="C14" s="33">
        <f>5200000000/C13 - 948</f>
        <v>10607.555555555555</v>
      </c>
      <c r="H14" s="19" t="s">
        <v>11</v>
      </c>
      <c r="J14" s="26">
        <f t="shared" si="1"/>
        <v>10.608000000000001</v>
      </c>
      <c r="K14" s="26" t="str">
        <f t="shared" si="0"/>
        <v/>
      </c>
      <c r="L14" s="26" t="str">
        <f t="shared" si="0"/>
        <v/>
      </c>
      <c r="M14" s="26" t="str">
        <f t="shared" si="0"/>
        <v/>
      </c>
      <c r="N14" s="26" t="str">
        <f t="shared" si="0"/>
        <v/>
      </c>
      <c r="O14" s="27" t="str">
        <f t="shared" si="2"/>
        <v>kOhms</v>
      </c>
      <c r="P14" s="19"/>
      <c r="Q14" s="19"/>
    </row>
    <row r="15" spans="2:21" ht="15" thickBot="1" x14ac:dyDescent="0.35">
      <c r="B15" s="24" t="s">
        <v>6</v>
      </c>
      <c r="C15" s="30">
        <v>10500</v>
      </c>
      <c r="H15" s="19" t="s">
        <v>11</v>
      </c>
      <c r="J15" s="31">
        <f t="shared" si="1"/>
        <v>10.5</v>
      </c>
      <c r="K15" s="31" t="str">
        <f t="shared" si="0"/>
        <v/>
      </c>
      <c r="L15" s="31" t="str">
        <f t="shared" si="0"/>
        <v/>
      </c>
      <c r="M15" s="31" t="str">
        <f t="shared" si="0"/>
        <v/>
      </c>
      <c r="N15" s="31" t="str">
        <f t="shared" si="0"/>
        <v/>
      </c>
      <c r="O15" s="32" t="str">
        <f t="shared" si="2"/>
        <v>kOhms</v>
      </c>
      <c r="P15" s="19"/>
      <c r="Q15" s="19"/>
    </row>
    <row r="16" spans="2:21" ht="15.6" thickTop="1" thickBot="1" x14ac:dyDescent="0.35">
      <c r="B16" s="24" t="s">
        <v>7</v>
      </c>
      <c r="C16" s="34">
        <f>5200000000/(C15+948)</f>
        <v>454227.81271837873</v>
      </c>
      <c r="H16" s="19" t="s">
        <v>3</v>
      </c>
      <c r="J16" s="26">
        <f t="shared" si="1"/>
        <v>454.22800000000001</v>
      </c>
      <c r="K16" s="26" t="str">
        <f t="shared" si="0"/>
        <v/>
      </c>
      <c r="L16" s="26" t="str">
        <f t="shared" si="0"/>
        <v/>
      </c>
      <c r="M16" s="26" t="str">
        <f t="shared" si="0"/>
        <v/>
      </c>
      <c r="N16" s="26" t="str">
        <f t="shared" si="0"/>
        <v/>
      </c>
      <c r="O16" s="27" t="str">
        <f t="shared" si="2"/>
        <v>kHz</v>
      </c>
      <c r="P16" s="19"/>
      <c r="Q16" s="19"/>
    </row>
    <row r="17" spans="2:21" ht="15" thickTop="1" x14ac:dyDescent="0.3">
      <c r="B17" s="41" t="s">
        <v>84</v>
      </c>
      <c r="J17" s="19" t="str">
        <f t="shared" si="1"/>
        <v/>
      </c>
      <c r="K17" s="19" t="str">
        <f t="shared" si="0"/>
        <v/>
      </c>
      <c r="L17" s="19" t="str">
        <f t="shared" si="0"/>
        <v/>
      </c>
      <c r="M17" s="19" t="str">
        <f t="shared" si="0"/>
        <v/>
      </c>
      <c r="N17" s="19" t="str">
        <f t="shared" si="0"/>
        <v/>
      </c>
      <c r="O17" s="19" t="str">
        <f t="shared" si="2"/>
        <v/>
      </c>
      <c r="P17" s="19"/>
      <c r="Q17" s="19"/>
    </row>
    <row r="18" spans="2:21" x14ac:dyDescent="0.3">
      <c r="B18" s="24" t="s">
        <v>19</v>
      </c>
      <c r="C18" s="35">
        <v>0.4</v>
      </c>
      <c r="H18" s="19" t="s">
        <v>84</v>
      </c>
      <c r="J18" s="26">
        <f t="shared" si="1"/>
        <v>400</v>
      </c>
      <c r="K18" s="26" t="str">
        <f t="shared" si="0"/>
        <v/>
      </c>
      <c r="L18" s="26" t="str">
        <f t="shared" si="0"/>
        <v/>
      </c>
      <c r="M18" s="26" t="str">
        <f t="shared" si="0"/>
        <v/>
      </c>
      <c r="N18" s="26" t="str">
        <f t="shared" si="0"/>
        <v/>
      </c>
      <c r="O18" s="27" t="str">
        <f t="shared" si="2"/>
        <v>m-</v>
      </c>
      <c r="P18" s="19"/>
      <c r="Q18" s="19"/>
    </row>
    <row r="19" spans="2:21" x14ac:dyDescent="0.3">
      <c r="B19" s="24" t="s">
        <v>12</v>
      </c>
      <c r="C19" s="28">
        <f>$C$5*$C$18</f>
        <v>0.1</v>
      </c>
      <c r="H19" s="19" t="s">
        <v>1</v>
      </c>
      <c r="J19" s="26">
        <f t="shared" si="1"/>
        <v>100</v>
      </c>
      <c r="K19" s="26" t="str">
        <f t="shared" si="0"/>
        <v/>
      </c>
      <c r="L19" s="26" t="str">
        <f t="shared" si="0"/>
        <v/>
      </c>
      <c r="M19" s="26" t="str">
        <f t="shared" si="0"/>
        <v/>
      </c>
      <c r="N19" s="26" t="str">
        <f t="shared" si="0"/>
        <v/>
      </c>
      <c r="O19" s="27" t="str">
        <f t="shared" si="2"/>
        <v>mA</v>
      </c>
      <c r="P19" s="19"/>
      <c r="Q19" s="19"/>
    </row>
    <row r="20" spans="2:21" x14ac:dyDescent="0.3">
      <c r="B20" s="24" t="s">
        <v>13</v>
      </c>
      <c r="C20" s="33">
        <f>($C$7/($C$5*$C$18*$C$16))*(1-$C$7/$C$3)</f>
        <v>9.9492603550295857E-5</v>
      </c>
      <c r="H20" s="19" t="s">
        <v>14</v>
      </c>
      <c r="J20" s="26">
        <f t="shared" si="1"/>
        <v>99.492999999999995</v>
      </c>
      <c r="K20" s="26" t="str">
        <f t="shared" si="1"/>
        <v/>
      </c>
      <c r="L20" s="26" t="str">
        <f t="shared" si="1"/>
        <v/>
      </c>
      <c r="M20" s="26" t="str">
        <f t="shared" si="1"/>
        <v/>
      </c>
      <c r="N20" s="26" t="str">
        <f t="shared" si="1"/>
        <v/>
      </c>
      <c r="O20" s="27" t="str">
        <f t="shared" si="2"/>
        <v>µH</v>
      </c>
      <c r="P20" s="19"/>
      <c r="Q20" s="19"/>
    </row>
    <row r="21" spans="2:21" x14ac:dyDescent="0.3">
      <c r="B21" s="24" t="s">
        <v>17</v>
      </c>
      <c r="C21" s="30">
        <v>1E-4</v>
      </c>
      <c r="H21" s="19" t="s">
        <v>14</v>
      </c>
      <c r="J21" s="31">
        <f t="shared" ref="J21:N71" si="3">IF(ISBLANK(C21),"",IFERROR(ROUND(C21 / (
  1000 ^ INT(LOG(ABS(C21),1000)) ),3
),"-"))</f>
        <v>100</v>
      </c>
      <c r="K21" s="31" t="str">
        <f t="shared" si="3"/>
        <v/>
      </c>
      <c r="L21" s="31" t="str">
        <f t="shared" si="3"/>
        <v/>
      </c>
      <c r="M21" s="31" t="str">
        <f t="shared" si="3"/>
        <v/>
      </c>
      <c r="N21" s="31" t="str">
        <f t="shared" si="3"/>
        <v/>
      </c>
      <c r="O21" s="32" t="str">
        <f t="shared" si="2"/>
        <v>µH</v>
      </c>
      <c r="P21" s="42" t="s">
        <v>151</v>
      </c>
      <c r="Q21" s="42" t="s">
        <v>151</v>
      </c>
      <c r="R21" s="19" t="s">
        <v>95</v>
      </c>
      <c r="S21" s="38" t="s">
        <v>118</v>
      </c>
    </row>
    <row r="22" spans="2:21" x14ac:dyDescent="0.3">
      <c r="B22" s="24" t="s">
        <v>93</v>
      </c>
      <c r="C22" s="30">
        <v>14</v>
      </c>
      <c r="H22" s="19" t="s">
        <v>1</v>
      </c>
      <c r="J22" s="31">
        <f t="shared" si="3"/>
        <v>14</v>
      </c>
      <c r="K22" s="31" t="str">
        <f t="shared" si="3"/>
        <v/>
      </c>
      <c r="L22" s="31" t="str">
        <f t="shared" si="3"/>
        <v/>
      </c>
      <c r="M22" s="31" t="str">
        <f t="shared" si="3"/>
        <v/>
      </c>
      <c r="N22" s="31" t="str">
        <f t="shared" si="3"/>
        <v/>
      </c>
      <c r="O22" s="32" t="str">
        <f t="shared" si="2"/>
        <v>A</v>
      </c>
      <c r="P22" s="19"/>
      <c r="Q22" s="19"/>
    </row>
    <row r="23" spans="2:21" ht="15" thickBot="1" x14ac:dyDescent="0.35">
      <c r="B23" s="24" t="s">
        <v>94</v>
      </c>
      <c r="C23" s="30">
        <v>1.0200000000000001E-2</v>
      </c>
      <c r="H23" s="19" t="s">
        <v>11</v>
      </c>
      <c r="J23" s="31">
        <f t="shared" si="3"/>
        <v>10.199999999999999</v>
      </c>
      <c r="K23" s="31" t="str">
        <f t="shared" si="3"/>
        <v/>
      </c>
      <c r="L23" s="31" t="str">
        <f t="shared" si="3"/>
        <v/>
      </c>
      <c r="M23" s="31" t="str">
        <f t="shared" si="3"/>
        <v/>
      </c>
      <c r="N23" s="31" t="str">
        <f t="shared" si="3"/>
        <v/>
      </c>
      <c r="O23" s="32" t="str">
        <f t="shared" si="2"/>
        <v>mOhms</v>
      </c>
      <c r="P23" s="19"/>
      <c r="Q23" s="19"/>
    </row>
    <row r="24" spans="2:21" ht="15.6" thickTop="1" thickBot="1" x14ac:dyDescent="0.35">
      <c r="B24" s="24" t="s">
        <v>18</v>
      </c>
      <c r="C24" s="34">
        <f>($C$7/($C$21*$C$13))*(1-$C$7/$C$3)</f>
        <v>0.10042735042735042</v>
      </c>
      <c r="D24" s="34">
        <f>($C$7/($C$21*$C$13))*(1-$C$7/D3)</f>
        <v>8.3333333333333329E-2</v>
      </c>
      <c r="E24" s="34">
        <f>($C$7/($C$21*$C$13))*(1-$C$7/E3)</f>
        <v>8.7962962962962951E-2</v>
      </c>
      <c r="F24" s="34">
        <f>($C$7/($C$21*$C$13))*(1-$C$7/F3)</f>
        <v>9.5679012345679007E-2</v>
      </c>
      <c r="G24" s="34">
        <f>($C$7/($C$21*$C$13))*(1-$C$7/G3)</f>
        <v>0.10042735042735042</v>
      </c>
      <c r="H24" s="19" t="s">
        <v>1</v>
      </c>
      <c r="J24" s="26">
        <f t="shared" si="3"/>
        <v>100.42700000000001</v>
      </c>
      <c r="K24" s="26">
        <f t="shared" si="3"/>
        <v>83.332999999999998</v>
      </c>
      <c r="L24" s="26">
        <f t="shared" si="3"/>
        <v>87.962999999999994</v>
      </c>
      <c r="M24" s="26">
        <f t="shared" si="3"/>
        <v>95.679000000000002</v>
      </c>
      <c r="N24" s="26">
        <f t="shared" si="3"/>
        <v>100.42700000000001</v>
      </c>
      <c r="O24" s="27" t="str">
        <f t="shared" si="2"/>
        <v>mA</v>
      </c>
      <c r="P24" s="19"/>
      <c r="Q24" s="19"/>
    </row>
    <row r="25" spans="2:21" ht="15.6" thickTop="1" thickBot="1" x14ac:dyDescent="0.35">
      <c r="B25" s="24" t="s">
        <v>86</v>
      </c>
      <c r="C25" s="34">
        <f>$C$5+C24/2</f>
        <v>0.3002136752136752</v>
      </c>
      <c r="D25" s="34">
        <f t="shared" ref="D25:G25" si="4">$C$5+D24/2</f>
        <v>0.29166666666666669</v>
      </c>
      <c r="E25" s="34">
        <f t="shared" si="4"/>
        <v>0.29398148148148145</v>
      </c>
      <c r="F25" s="34">
        <f t="shared" si="4"/>
        <v>0.2978395061728395</v>
      </c>
      <c r="G25" s="34">
        <f t="shared" si="4"/>
        <v>0.3002136752136752</v>
      </c>
      <c r="H25" s="19" t="s">
        <v>1</v>
      </c>
      <c r="J25" s="26">
        <f t="shared" si="3"/>
        <v>300.214</v>
      </c>
      <c r="K25" s="26">
        <f t="shared" si="3"/>
        <v>291.66699999999997</v>
      </c>
      <c r="L25" s="26">
        <f t="shared" si="3"/>
        <v>293.98099999999999</v>
      </c>
      <c r="M25" s="26">
        <f t="shared" si="3"/>
        <v>297.83999999999997</v>
      </c>
      <c r="N25" s="26">
        <f t="shared" si="3"/>
        <v>300.214</v>
      </c>
      <c r="O25" s="27" t="str">
        <f t="shared" si="2"/>
        <v>mA</v>
      </c>
      <c r="P25" s="19"/>
      <c r="Q25" s="19"/>
    </row>
    <row r="26" spans="2:21" ht="15" thickTop="1" x14ac:dyDescent="0.3">
      <c r="B26" s="41" t="s">
        <v>84</v>
      </c>
      <c r="J26" s="19" t="str">
        <f t="shared" si="3"/>
        <v/>
      </c>
      <c r="K26" s="19" t="str">
        <f t="shared" si="3"/>
        <v/>
      </c>
      <c r="L26" s="19" t="str">
        <f t="shared" si="3"/>
        <v/>
      </c>
      <c r="M26" s="19" t="str">
        <f t="shared" si="3"/>
        <v/>
      </c>
      <c r="N26" s="19" t="str">
        <f t="shared" si="3"/>
        <v/>
      </c>
      <c r="O26" s="19" t="str">
        <f t="shared" si="2"/>
        <v/>
      </c>
      <c r="P26" s="19"/>
      <c r="Q26" s="19"/>
    </row>
    <row r="27" spans="2:21" x14ac:dyDescent="0.3">
      <c r="B27" s="29" t="s">
        <v>26</v>
      </c>
      <c r="C27" s="35">
        <v>1.3</v>
      </c>
      <c r="J27" s="26">
        <f t="shared" si="3"/>
        <v>1.3</v>
      </c>
      <c r="K27" s="26" t="str">
        <f t="shared" si="3"/>
        <v/>
      </c>
      <c r="L27" s="26" t="str">
        <f t="shared" si="3"/>
        <v/>
      </c>
      <c r="M27" s="26" t="str">
        <f t="shared" si="3"/>
        <v/>
      </c>
      <c r="N27" s="26" t="str">
        <f t="shared" si="3"/>
        <v/>
      </c>
      <c r="O27" s="27" t="str">
        <f t="shared" si="2"/>
        <v/>
      </c>
      <c r="P27" s="19"/>
      <c r="Q27" s="19"/>
    </row>
    <row r="28" spans="2:21" x14ac:dyDescent="0.3">
      <c r="B28" s="29" t="s">
        <v>29</v>
      </c>
      <c r="C28" s="33">
        <f>$C$5*$C$27</f>
        <v>0.32500000000000001</v>
      </c>
      <c r="H28" s="19" t="s">
        <v>1</v>
      </c>
      <c r="J28" s="26">
        <f t="shared" si="3"/>
        <v>325</v>
      </c>
      <c r="K28" s="26" t="str">
        <f t="shared" si="3"/>
        <v/>
      </c>
      <c r="L28" s="26" t="str">
        <f t="shared" si="3"/>
        <v/>
      </c>
      <c r="M28" s="26" t="str">
        <f t="shared" si="3"/>
        <v/>
      </c>
      <c r="N28" s="26" t="str">
        <f t="shared" si="3"/>
        <v/>
      </c>
      <c r="O28" s="27" t="str">
        <f t="shared" si="2"/>
        <v>mA</v>
      </c>
      <c r="P28" s="19"/>
      <c r="Q28" s="19"/>
    </row>
    <row r="29" spans="2:21" x14ac:dyDescent="0.3">
      <c r="B29" s="29" t="s">
        <v>27</v>
      </c>
      <c r="C29" s="33">
        <f>0.12/(($C$5*$C$27)+(($C$7*1)/($C$13*$C$21))-($D$24/2))</f>
        <v>0.30422535211267604</v>
      </c>
      <c r="H29" s="19" t="s">
        <v>11</v>
      </c>
      <c r="J29" s="26">
        <f t="shared" si="3"/>
        <v>304.22500000000002</v>
      </c>
      <c r="K29" s="26" t="str">
        <f t="shared" si="3"/>
        <v/>
      </c>
      <c r="L29" s="26" t="str">
        <f t="shared" si="3"/>
        <v/>
      </c>
      <c r="M29" s="26" t="str">
        <f t="shared" si="3"/>
        <v/>
      </c>
      <c r="N29" s="26" t="str">
        <f t="shared" si="3"/>
        <v/>
      </c>
      <c r="O29" s="27" t="str">
        <f t="shared" si="2"/>
        <v>mOhms</v>
      </c>
      <c r="P29" s="19"/>
      <c r="Q29" s="19"/>
      <c r="U29" s="19" t="s">
        <v>28</v>
      </c>
    </row>
    <row r="30" spans="2:21" x14ac:dyDescent="0.3">
      <c r="B30" s="29" t="s">
        <v>30</v>
      </c>
      <c r="C30" s="30">
        <v>1.4999999999999999E-2</v>
      </c>
      <c r="H30" s="19" t="s">
        <v>11</v>
      </c>
      <c r="J30" s="31">
        <f t="shared" si="3"/>
        <v>15</v>
      </c>
      <c r="K30" s="31" t="str">
        <f t="shared" si="3"/>
        <v/>
      </c>
      <c r="L30" s="31" t="str">
        <f t="shared" si="3"/>
        <v/>
      </c>
      <c r="M30" s="31" t="str">
        <f t="shared" si="3"/>
        <v/>
      </c>
      <c r="N30" s="31" t="str">
        <f t="shared" si="3"/>
        <v/>
      </c>
      <c r="O30" s="32" t="str">
        <f t="shared" si="2"/>
        <v>mOhms</v>
      </c>
      <c r="P30" s="42" t="s">
        <v>151</v>
      </c>
      <c r="Q30" s="44" t="s">
        <v>151</v>
      </c>
      <c r="R30" s="19" t="s">
        <v>89</v>
      </c>
      <c r="S30" s="38" t="s">
        <v>119</v>
      </c>
    </row>
    <row r="31" spans="2:21" ht="15" thickBot="1" x14ac:dyDescent="0.35">
      <c r="B31" s="29" t="s">
        <v>91</v>
      </c>
      <c r="C31" s="30">
        <v>1</v>
      </c>
      <c r="H31" s="19" t="s">
        <v>35</v>
      </c>
      <c r="J31" s="31">
        <f t="shared" si="3"/>
        <v>1</v>
      </c>
      <c r="K31" s="31" t="str">
        <f t="shared" si="3"/>
        <v/>
      </c>
      <c r="L31" s="31" t="str">
        <f t="shared" si="3"/>
        <v/>
      </c>
      <c r="M31" s="31" t="str">
        <f t="shared" si="3"/>
        <v/>
      </c>
      <c r="N31" s="31" t="str">
        <f t="shared" si="3"/>
        <v/>
      </c>
      <c r="O31" s="32" t="str">
        <f t="shared" si="2"/>
        <v>W</v>
      </c>
      <c r="P31" s="19"/>
      <c r="Q31" s="19"/>
      <c r="S31" s="38"/>
    </row>
    <row r="32" spans="2:21" ht="15.6" thickTop="1" thickBot="1" x14ac:dyDescent="0.35">
      <c r="B32" s="29" t="s">
        <v>92</v>
      </c>
      <c r="C32" s="34">
        <f>0.12/C30+$C$3*0.0000001/$C$21</f>
        <v>8.0519999999999996</v>
      </c>
      <c r="H32" s="19" t="s">
        <v>1</v>
      </c>
      <c r="J32" s="26">
        <f t="shared" si="3"/>
        <v>8.0519999999999996</v>
      </c>
      <c r="K32" s="26" t="str">
        <f t="shared" si="3"/>
        <v/>
      </c>
      <c r="L32" s="26" t="str">
        <f t="shared" si="3"/>
        <v/>
      </c>
      <c r="M32" s="26" t="str">
        <f t="shared" si="3"/>
        <v/>
      </c>
      <c r="N32" s="26" t="str">
        <f t="shared" si="3"/>
        <v/>
      </c>
      <c r="O32" s="27" t="str">
        <f t="shared" si="2"/>
        <v>A</v>
      </c>
      <c r="P32" s="19"/>
      <c r="Q32" s="19"/>
      <c r="U32" s="19" t="s">
        <v>32</v>
      </c>
    </row>
    <row r="33" spans="2:21" ht="15" thickTop="1" x14ac:dyDescent="0.3">
      <c r="B33" s="29" t="s">
        <v>34</v>
      </c>
      <c r="C33" s="33">
        <f>(1-$C$7/$C$3)*$C$5^2*$C$30</f>
        <v>8.4735576923076919E-4</v>
      </c>
      <c r="H33" s="19" t="s">
        <v>35</v>
      </c>
      <c r="J33" s="31">
        <f t="shared" si="3"/>
        <v>847.35599999999999</v>
      </c>
      <c r="K33" s="31" t="str">
        <f t="shared" si="3"/>
        <v/>
      </c>
      <c r="L33" s="31" t="str">
        <f t="shared" si="3"/>
        <v/>
      </c>
      <c r="M33" s="31" t="str">
        <f t="shared" si="3"/>
        <v/>
      </c>
      <c r="N33" s="31" t="str">
        <f t="shared" si="3"/>
        <v/>
      </c>
      <c r="O33" s="32" t="str">
        <f t="shared" si="2"/>
        <v>µW</v>
      </c>
      <c r="P33" s="19"/>
      <c r="Q33" s="19"/>
    </row>
    <row r="34" spans="2:21" x14ac:dyDescent="0.3">
      <c r="B34" s="41" t="s">
        <v>84</v>
      </c>
      <c r="J34" s="19" t="str">
        <f t="shared" si="3"/>
        <v/>
      </c>
      <c r="K34" s="19" t="str">
        <f t="shared" si="3"/>
        <v/>
      </c>
      <c r="L34" s="19" t="str">
        <f t="shared" si="3"/>
        <v/>
      </c>
      <c r="M34" s="19" t="str">
        <f t="shared" si="3"/>
        <v/>
      </c>
      <c r="N34" s="19" t="str">
        <f t="shared" si="3"/>
        <v/>
      </c>
      <c r="O34" s="19" t="str">
        <f t="shared" si="2"/>
        <v/>
      </c>
      <c r="P34" s="19"/>
      <c r="Q34" s="19"/>
    </row>
    <row r="35" spans="2:21" x14ac:dyDescent="0.3">
      <c r="B35" s="29" t="s">
        <v>36</v>
      </c>
      <c r="C35" s="30">
        <v>8.1999999999999996E-10</v>
      </c>
      <c r="H35" s="19" t="s">
        <v>37</v>
      </c>
      <c r="J35" s="31">
        <f t="shared" si="3"/>
        <v>820</v>
      </c>
      <c r="K35" s="31" t="str">
        <f t="shared" si="3"/>
        <v/>
      </c>
      <c r="L35" s="31" t="str">
        <f t="shared" si="3"/>
        <v/>
      </c>
      <c r="M35" s="31" t="str">
        <f t="shared" si="3"/>
        <v/>
      </c>
      <c r="N35" s="31" t="str">
        <f t="shared" si="3"/>
        <v/>
      </c>
      <c r="O35" s="32" t="str">
        <f t="shared" si="2"/>
        <v>pF</v>
      </c>
      <c r="P35" s="42" t="s">
        <v>151</v>
      </c>
      <c r="Q35" s="44" t="s">
        <v>151</v>
      </c>
      <c r="R35" s="19" t="s">
        <v>97</v>
      </c>
      <c r="S35" s="38" t="s">
        <v>98</v>
      </c>
      <c r="U35" s="19" t="s">
        <v>39</v>
      </c>
    </row>
    <row r="36" spans="2:21" x14ac:dyDescent="0.3">
      <c r="B36" s="29" t="s">
        <v>38</v>
      </c>
      <c r="C36" s="33">
        <f>$C$21/(1*$C$35*$C$30*10)</f>
        <v>813008.13008130097</v>
      </c>
      <c r="H36" s="36" t="s">
        <v>11</v>
      </c>
      <c r="J36" s="26">
        <f t="shared" si="3"/>
        <v>813.00800000000004</v>
      </c>
      <c r="K36" s="26" t="str">
        <f t="shared" si="3"/>
        <v/>
      </c>
      <c r="L36" s="26" t="str">
        <f t="shared" si="3"/>
        <v/>
      </c>
      <c r="M36" s="26" t="str">
        <f t="shared" si="3"/>
        <v/>
      </c>
      <c r="N36" s="26" t="str">
        <f t="shared" si="3"/>
        <v/>
      </c>
      <c r="O36" s="27" t="str">
        <f t="shared" si="2"/>
        <v>kOhms</v>
      </c>
      <c r="P36" s="19"/>
      <c r="Q36" s="19"/>
      <c r="U36" s="19" t="s">
        <v>40</v>
      </c>
    </row>
    <row r="37" spans="2:21" x14ac:dyDescent="0.3">
      <c r="B37" s="29" t="s">
        <v>125</v>
      </c>
      <c r="C37" s="30">
        <v>121000</v>
      </c>
      <c r="H37" s="36" t="s">
        <v>11</v>
      </c>
      <c r="J37" s="31">
        <f t="shared" si="3"/>
        <v>121</v>
      </c>
      <c r="K37" s="31" t="str">
        <f t="shared" si="3"/>
        <v/>
      </c>
      <c r="L37" s="31" t="str">
        <f t="shared" si="3"/>
        <v/>
      </c>
      <c r="M37" s="31" t="str">
        <f t="shared" si="3"/>
        <v/>
      </c>
      <c r="N37" s="31" t="str">
        <f t="shared" si="3"/>
        <v/>
      </c>
      <c r="O37" s="32" t="str">
        <f t="shared" si="2"/>
        <v>kOhms</v>
      </c>
      <c r="P37" s="42" t="s">
        <v>151</v>
      </c>
      <c r="Q37" s="44" t="s">
        <v>151</v>
      </c>
      <c r="R37" s="19" t="s">
        <v>99</v>
      </c>
      <c r="S37" s="38" t="s">
        <v>120</v>
      </c>
    </row>
    <row r="38" spans="2:21" x14ac:dyDescent="0.3">
      <c r="B38" s="41" t="s">
        <v>84</v>
      </c>
      <c r="J38" s="19" t="str">
        <f t="shared" si="3"/>
        <v/>
      </c>
      <c r="K38" s="19" t="str">
        <f t="shared" si="3"/>
        <v/>
      </c>
      <c r="L38" s="19" t="str">
        <f t="shared" si="3"/>
        <v/>
      </c>
      <c r="M38" s="19" t="str">
        <f t="shared" si="3"/>
        <v/>
      </c>
      <c r="N38" s="19" t="str">
        <f t="shared" si="3"/>
        <v/>
      </c>
      <c r="O38" s="19" t="str">
        <f t="shared" si="2"/>
        <v/>
      </c>
      <c r="P38" s="19"/>
      <c r="Q38" s="19"/>
    </row>
    <row r="39" spans="2:21" x14ac:dyDescent="0.3">
      <c r="B39" s="29" t="s">
        <v>42</v>
      </c>
      <c r="C39" s="25">
        <v>2</v>
      </c>
      <c r="H39" s="19" t="s">
        <v>0</v>
      </c>
      <c r="J39" s="19">
        <f t="shared" si="3"/>
        <v>2</v>
      </c>
      <c r="K39" s="19" t="str">
        <f t="shared" si="3"/>
        <v/>
      </c>
      <c r="L39" s="19" t="str">
        <f t="shared" si="3"/>
        <v/>
      </c>
      <c r="M39" s="19" t="str">
        <f t="shared" si="3"/>
        <v/>
      </c>
      <c r="N39" s="19" t="str">
        <f t="shared" si="3"/>
        <v/>
      </c>
      <c r="O39" s="19" t="str">
        <f t="shared" si="2"/>
        <v>V</v>
      </c>
      <c r="P39" s="19"/>
      <c r="Q39" s="19"/>
    </row>
    <row r="40" spans="2:21" x14ac:dyDescent="0.3">
      <c r="B40" s="29" t="s">
        <v>49</v>
      </c>
      <c r="C40" s="25">
        <v>18</v>
      </c>
      <c r="H40" s="19" t="s">
        <v>0</v>
      </c>
      <c r="J40" s="19">
        <f t="shared" si="3"/>
        <v>18</v>
      </c>
      <c r="K40" s="19" t="str">
        <f t="shared" si="3"/>
        <v/>
      </c>
      <c r="L40" s="19" t="str">
        <f t="shared" si="3"/>
        <v/>
      </c>
      <c r="M40" s="19" t="str">
        <f t="shared" si="3"/>
        <v/>
      </c>
      <c r="N40" s="19" t="str">
        <f t="shared" si="3"/>
        <v/>
      </c>
      <c r="O40" s="19" t="str">
        <f t="shared" si="2"/>
        <v>V</v>
      </c>
      <c r="P40" s="19"/>
      <c r="Q40" s="19"/>
    </row>
    <row r="41" spans="2:21" x14ac:dyDescent="0.3">
      <c r="B41" s="29" t="s">
        <v>43</v>
      </c>
      <c r="C41" s="28">
        <f>C39/0.00002</f>
        <v>99999.999999999985</v>
      </c>
      <c r="H41" s="19" t="s">
        <v>11</v>
      </c>
      <c r="J41" s="26">
        <f t="shared" si="3"/>
        <v>100</v>
      </c>
      <c r="K41" s="26" t="str">
        <f t="shared" si="3"/>
        <v/>
      </c>
      <c r="L41" s="26" t="str">
        <f t="shared" si="3"/>
        <v/>
      </c>
      <c r="M41" s="26" t="str">
        <f t="shared" si="3"/>
        <v/>
      </c>
      <c r="N41" s="26" t="str">
        <f t="shared" si="3"/>
        <v/>
      </c>
      <c r="O41" s="27" t="str">
        <f t="shared" si="2"/>
        <v>kOhms</v>
      </c>
      <c r="P41" s="19"/>
      <c r="Q41" s="19"/>
      <c r="U41" s="19" t="s">
        <v>44</v>
      </c>
    </row>
    <row r="42" spans="2:21" x14ac:dyDescent="0.3">
      <c r="B42" s="29" t="s">
        <v>45</v>
      </c>
      <c r="C42" s="30">
        <v>100000</v>
      </c>
      <c r="H42" s="19" t="s">
        <v>11</v>
      </c>
      <c r="J42" s="31">
        <f t="shared" si="3"/>
        <v>100</v>
      </c>
      <c r="K42" s="31" t="str">
        <f t="shared" si="3"/>
        <v/>
      </c>
      <c r="L42" s="31" t="str">
        <f t="shared" si="3"/>
        <v/>
      </c>
      <c r="M42" s="31" t="str">
        <f t="shared" si="3"/>
        <v/>
      </c>
      <c r="N42" s="31" t="str">
        <f t="shared" si="3"/>
        <v/>
      </c>
      <c r="O42" s="32" t="str">
        <f t="shared" si="2"/>
        <v>kOhms</v>
      </c>
      <c r="P42" s="42" t="s">
        <v>151</v>
      </c>
      <c r="Q42" s="44" t="s">
        <v>151</v>
      </c>
      <c r="R42" s="19" t="s">
        <v>99</v>
      </c>
      <c r="S42" s="38" t="s">
        <v>101</v>
      </c>
    </row>
    <row r="43" spans="2:21" x14ac:dyDescent="0.3">
      <c r="B43" s="29" t="s">
        <v>46</v>
      </c>
      <c r="C43" s="33">
        <f>1.25*$C$42/($C$40-1.25)</f>
        <v>7462.686567164179</v>
      </c>
      <c r="H43" s="19" t="s">
        <v>11</v>
      </c>
      <c r="J43" s="26">
        <f t="shared" si="3"/>
        <v>7.4630000000000001</v>
      </c>
      <c r="K43" s="26" t="str">
        <f t="shared" si="3"/>
        <v/>
      </c>
      <c r="L43" s="26" t="str">
        <f t="shared" si="3"/>
        <v/>
      </c>
      <c r="M43" s="26" t="str">
        <f t="shared" si="3"/>
        <v/>
      </c>
      <c r="N43" s="26" t="str">
        <f t="shared" si="3"/>
        <v/>
      </c>
      <c r="O43" s="27" t="str">
        <f t="shared" si="2"/>
        <v>kOhms</v>
      </c>
      <c r="P43" s="19"/>
      <c r="Q43" s="19"/>
      <c r="U43" s="19" t="s">
        <v>47</v>
      </c>
    </row>
    <row r="44" spans="2:21" ht="15" thickBot="1" x14ac:dyDescent="0.35">
      <c r="B44" s="29" t="s">
        <v>48</v>
      </c>
      <c r="C44" s="30">
        <v>7500</v>
      </c>
      <c r="H44" s="19" t="s">
        <v>11</v>
      </c>
      <c r="J44" s="31">
        <f t="shared" si="3"/>
        <v>7.5</v>
      </c>
      <c r="K44" s="31" t="str">
        <f t="shared" si="3"/>
        <v/>
      </c>
      <c r="L44" s="31" t="str">
        <f t="shared" si="3"/>
        <v/>
      </c>
      <c r="M44" s="31" t="str">
        <f t="shared" si="3"/>
        <v/>
      </c>
      <c r="N44" s="31" t="str">
        <f t="shared" si="3"/>
        <v/>
      </c>
      <c r="O44" s="32" t="str">
        <f t="shared" si="2"/>
        <v>kOhms</v>
      </c>
      <c r="P44" s="42" t="s">
        <v>151</v>
      </c>
      <c r="Q44" s="44" t="s">
        <v>151</v>
      </c>
      <c r="R44" s="19" t="s">
        <v>99</v>
      </c>
      <c r="S44" s="38" t="s">
        <v>102</v>
      </c>
    </row>
    <row r="45" spans="2:21" ht="15.6" thickTop="1" thickBot="1" x14ac:dyDescent="0.35">
      <c r="B45" s="29" t="s">
        <v>50</v>
      </c>
      <c r="C45" s="34">
        <f>1.25*($C$42+$C$44)/$C$44</f>
        <v>17.916666666666668</v>
      </c>
      <c r="H45" s="19" t="s">
        <v>0</v>
      </c>
      <c r="J45" s="26">
        <f t="shared" si="3"/>
        <v>17.917000000000002</v>
      </c>
      <c r="K45" s="26" t="str">
        <f t="shared" si="3"/>
        <v/>
      </c>
      <c r="L45" s="26" t="str">
        <f t="shared" si="3"/>
        <v/>
      </c>
      <c r="M45" s="26" t="str">
        <f t="shared" si="3"/>
        <v/>
      </c>
      <c r="N45" s="26" t="str">
        <f t="shared" si="3"/>
        <v/>
      </c>
      <c r="O45" s="27" t="str">
        <f t="shared" si="2"/>
        <v>V</v>
      </c>
      <c r="P45" s="19"/>
      <c r="Q45" s="19"/>
    </row>
    <row r="46" spans="2:21" ht="15" thickTop="1" x14ac:dyDescent="0.3">
      <c r="B46" s="41" t="s">
        <v>84</v>
      </c>
      <c r="J46" s="19" t="str">
        <f t="shared" si="3"/>
        <v/>
      </c>
      <c r="K46" s="19" t="str">
        <f t="shared" si="3"/>
        <v/>
      </c>
      <c r="L46" s="19" t="str">
        <f t="shared" si="3"/>
        <v/>
      </c>
      <c r="M46" s="19" t="str">
        <f t="shared" si="3"/>
        <v/>
      </c>
      <c r="N46" s="19" t="str">
        <f t="shared" si="3"/>
        <v/>
      </c>
      <c r="O46" s="19" t="str">
        <f t="shared" si="2"/>
        <v/>
      </c>
      <c r="P46" s="19"/>
      <c r="Q46" s="19"/>
    </row>
    <row r="47" spans="2:21" x14ac:dyDescent="0.3">
      <c r="B47" s="29" t="s">
        <v>56</v>
      </c>
      <c r="C47" s="25">
        <v>0.25</v>
      </c>
      <c r="H47" s="19" t="s">
        <v>0</v>
      </c>
      <c r="J47" s="26">
        <f t="shared" si="3"/>
        <v>250</v>
      </c>
      <c r="K47" s="26" t="str">
        <f t="shared" si="3"/>
        <v/>
      </c>
      <c r="L47" s="26" t="str">
        <f t="shared" si="3"/>
        <v/>
      </c>
      <c r="M47" s="26" t="str">
        <f t="shared" si="3"/>
        <v/>
      </c>
      <c r="N47" s="26" t="str">
        <f t="shared" si="3"/>
        <v/>
      </c>
      <c r="O47" s="27" t="str">
        <f t="shared" si="2"/>
        <v>mV</v>
      </c>
      <c r="P47" s="19"/>
      <c r="Q47" s="19"/>
    </row>
    <row r="48" spans="2:21" x14ac:dyDescent="0.3">
      <c r="B48" s="29" t="s">
        <v>57</v>
      </c>
      <c r="C48" s="33">
        <f>$C$5/(4*$C$13*$C$47)</f>
        <v>5.5555555555555552E-7</v>
      </c>
      <c r="H48" s="19" t="s">
        <v>37</v>
      </c>
      <c r="J48" s="26">
        <f t="shared" si="3"/>
        <v>555.55600000000004</v>
      </c>
      <c r="K48" s="26" t="str">
        <f t="shared" si="3"/>
        <v/>
      </c>
      <c r="L48" s="26" t="str">
        <f t="shared" si="3"/>
        <v/>
      </c>
      <c r="M48" s="26" t="str">
        <f t="shared" si="3"/>
        <v/>
      </c>
      <c r="N48" s="26" t="str">
        <f t="shared" si="3"/>
        <v/>
      </c>
      <c r="O48" s="27" t="str">
        <f t="shared" si="2"/>
        <v>nF</v>
      </c>
      <c r="P48" s="19"/>
      <c r="Q48" s="19"/>
    </row>
    <row r="49" spans="2:21" x14ac:dyDescent="0.3">
      <c r="B49" s="29" t="s">
        <v>103</v>
      </c>
      <c r="C49" s="30">
        <v>1.5E-5</v>
      </c>
      <c r="D49" s="33">
        <f>$C$49</f>
        <v>1.5E-5</v>
      </c>
      <c r="E49" s="33">
        <f t="shared" ref="E49:G49" si="5">$C$49</f>
        <v>1.5E-5</v>
      </c>
      <c r="F49" s="33">
        <f t="shared" si="5"/>
        <v>1.5E-5</v>
      </c>
      <c r="G49" s="33">
        <f t="shared" si="5"/>
        <v>1.5E-5</v>
      </c>
      <c r="H49" s="19" t="s">
        <v>37</v>
      </c>
      <c r="J49" s="31">
        <f t="shared" si="3"/>
        <v>15</v>
      </c>
      <c r="K49" s="31">
        <f t="shared" si="3"/>
        <v>15</v>
      </c>
      <c r="L49" s="31">
        <f t="shared" si="3"/>
        <v>15</v>
      </c>
      <c r="M49" s="31">
        <f t="shared" si="3"/>
        <v>15</v>
      </c>
      <c r="N49" s="31">
        <f t="shared" si="3"/>
        <v>15</v>
      </c>
      <c r="O49" s="32" t="str">
        <f t="shared" si="2"/>
        <v>µF</v>
      </c>
      <c r="P49" s="42" t="s">
        <v>151</v>
      </c>
      <c r="Q49" s="44" t="s">
        <v>151</v>
      </c>
      <c r="R49" s="19" t="s">
        <v>107</v>
      </c>
      <c r="S49" s="38" t="s">
        <v>108</v>
      </c>
    </row>
    <row r="50" spans="2:21" x14ac:dyDescent="0.3">
      <c r="B50" s="29" t="s">
        <v>106</v>
      </c>
      <c r="C50" s="30">
        <v>4.4999999999999997E-3</v>
      </c>
      <c r="D50" s="33">
        <f>$C$50</f>
        <v>4.4999999999999997E-3</v>
      </c>
      <c r="E50" s="33">
        <f t="shared" ref="E50:G50" si="6">$C$50</f>
        <v>4.4999999999999997E-3</v>
      </c>
      <c r="F50" s="33">
        <f t="shared" si="6"/>
        <v>4.4999999999999997E-3</v>
      </c>
      <c r="G50" s="33">
        <f t="shared" si="6"/>
        <v>4.4999999999999997E-3</v>
      </c>
      <c r="H50" s="19" t="s">
        <v>5</v>
      </c>
      <c r="J50" s="31">
        <f t="shared" si="3"/>
        <v>4.5</v>
      </c>
      <c r="K50" s="31">
        <f t="shared" si="3"/>
        <v>4.5</v>
      </c>
      <c r="L50" s="31">
        <f t="shared" si="3"/>
        <v>4.5</v>
      </c>
      <c r="M50" s="31">
        <f t="shared" si="3"/>
        <v>4.5</v>
      </c>
      <c r="N50" s="31">
        <f t="shared" si="3"/>
        <v>4.5</v>
      </c>
      <c r="O50" s="32" t="str">
        <f t="shared" si="2"/>
        <v>mOhm</v>
      </c>
      <c r="P50" s="19"/>
      <c r="Q50" s="19"/>
      <c r="U50" s="19" t="s">
        <v>112</v>
      </c>
    </row>
    <row r="51" spans="2:21" x14ac:dyDescent="0.3">
      <c r="B51" s="29" t="s">
        <v>104</v>
      </c>
      <c r="C51" s="39">
        <f>1-0.486</f>
        <v>0.51400000000000001</v>
      </c>
      <c r="D51" s="39">
        <f>1-0.111</f>
        <v>0.88900000000000001</v>
      </c>
      <c r="E51" s="39">
        <f>1-0.158</f>
        <v>0.84199999999999997</v>
      </c>
      <c r="F51" s="39">
        <f>1-0.309</f>
        <v>0.69100000000000006</v>
      </c>
      <c r="G51" s="39">
        <f>1-0.486</f>
        <v>0.51400000000000001</v>
      </c>
      <c r="J51" s="31">
        <f t="shared" si="3"/>
        <v>514</v>
      </c>
      <c r="K51" s="31">
        <f t="shared" si="3"/>
        <v>889</v>
      </c>
      <c r="L51" s="31">
        <f t="shared" si="3"/>
        <v>842</v>
      </c>
      <c r="M51" s="31">
        <f t="shared" si="3"/>
        <v>691</v>
      </c>
      <c r="N51" s="31">
        <f t="shared" si="3"/>
        <v>514</v>
      </c>
      <c r="O51" s="32" t="str">
        <f t="shared" si="2"/>
        <v/>
      </c>
      <c r="P51" s="19"/>
      <c r="Q51" s="19"/>
      <c r="U51" s="19" t="s">
        <v>112</v>
      </c>
    </row>
    <row r="52" spans="2:21" x14ac:dyDescent="0.3">
      <c r="B52" s="29" t="s">
        <v>105</v>
      </c>
      <c r="C52" s="25">
        <v>2</v>
      </c>
      <c r="D52" s="28">
        <f>$C$52</f>
        <v>2</v>
      </c>
      <c r="E52" s="28">
        <f t="shared" ref="E52:G52" si="7">$C$52</f>
        <v>2</v>
      </c>
      <c r="F52" s="28">
        <f t="shared" si="7"/>
        <v>2</v>
      </c>
      <c r="G52" s="28">
        <f t="shared" si="7"/>
        <v>2</v>
      </c>
      <c r="J52" s="31">
        <f t="shared" si="3"/>
        <v>2</v>
      </c>
      <c r="K52" s="31">
        <f t="shared" si="3"/>
        <v>2</v>
      </c>
      <c r="L52" s="31">
        <f t="shared" si="3"/>
        <v>2</v>
      </c>
      <c r="M52" s="31">
        <f t="shared" si="3"/>
        <v>2</v>
      </c>
      <c r="N52" s="31">
        <f t="shared" si="3"/>
        <v>2</v>
      </c>
      <c r="O52" s="32" t="str">
        <f t="shared" si="2"/>
        <v/>
      </c>
      <c r="P52" s="19"/>
      <c r="Q52" s="19"/>
    </row>
    <row r="53" spans="2:21" x14ac:dyDescent="0.3">
      <c r="B53" s="29" t="s">
        <v>58</v>
      </c>
      <c r="C53" s="33">
        <f>$C$51*$C$49</f>
        <v>7.7100000000000007E-6</v>
      </c>
      <c r="D53" s="33">
        <f>D50*$C$49</f>
        <v>6.7500000000000002E-8</v>
      </c>
      <c r="E53" s="33">
        <f t="shared" ref="E53:G53" si="8">E50*$C$49</f>
        <v>6.7500000000000002E-8</v>
      </c>
      <c r="F53" s="33">
        <f t="shared" si="8"/>
        <v>6.7500000000000002E-8</v>
      </c>
      <c r="G53" s="33">
        <f t="shared" si="8"/>
        <v>6.7500000000000002E-8</v>
      </c>
      <c r="H53" s="19" t="s">
        <v>37</v>
      </c>
      <c r="J53" s="31">
        <f t="shared" si="3"/>
        <v>7.71</v>
      </c>
      <c r="K53" s="31">
        <f t="shared" si="3"/>
        <v>67.5</v>
      </c>
      <c r="L53" s="31">
        <f t="shared" si="3"/>
        <v>67.5</v>
      </c>
      <c r="M53" s="31">
        <f t="shared" si="3"/>
        <v>67.5</v>
      </c>
      <c r="N53" s="31">
        <f t="shared" si="3"/>
        <v>67.5</v>
      </c>
      <c r="O53" s="32" t="str">
        <f t="shared" si="2"/>
        <v>µF</v>
      </c>
      <c r="P53" s="19"/>
      <c r="Q53" s="19"/>
    </row>
    <row r="54" spans="2:21" x14ac:dyDescent="0.3">
      <c r="B54" s="29" t="s">
        <v>117</v>
      </c>
      <c r="C54" s="33">
        <f>$C$52*$C$51*$C$49</f>
        <v>1.5420000000000001E-5</v>
      </c>
      <c r="D54" s="33">
        <f>$C$52*D51*$C$49</f>
        <v>2.667E-5</v>
      </c>
      <c r="E54" s="33">
        <f t="shared" ref="E54:G54" si="9">$C$52*E51*$C$49</f>
        <v>2.5259999999999999E-5</v>
      </c>
      <c r="F54" s="33">
        <f t="shared" si="9"/>
        <v>2.0730000000000003E-5</v>
      </c>
      <c r="G54" s="33">
        <f t="shared" si="9"/>
        <v>1.5420000000000001E-5</v>
      </c>
      <c r="H54" s="19" t="s">
        <v>37</v>
      </c>
      <c r="J54" s="31">
        <f t="shared" si="3"/>
        <v>15.42</v>
      </c>
      <c r="K54" s="31">
        <f t="shared" si="3"/>
        <v>26.67</v>
      </c>
      <c r="L54" s="31">
        <f t="shared" si="3"/>
        <v>25.26</v>
      </c>
      <c r="M54" s="31">
        <f t="shared" si="3"/>
        <v>20.73</v>
      </c>
      <c r="N54" s="31">
        <f t="shared" si="3"/>
        <v>15.42</v>
      </c>
      <c r="O54" s="32" t="str">
        <f t="shared" si="2"/>
        <v>µF</v>
      </c>
      <c r="P54" s="19"/>
      <c r="Q54" s="19"/>
    </row>
    <row r="55" spans="2:21" ht="15" thickBot="1" x14ac:dyDescent="0.35">
      <c r="B55" s="29" t="s">
        <v>106</v>
      </c>
      <c r="C55" s="33">
        <f>$C$50/$C$52</f>
        <v>2.2499999999999998E-3</v>
      </c>
      <c r="D55" s="33">
        <f>$C$50/$C$52</f>
        <v>2.2499999999999998E-3</v>
      </c>
      <c r="E55" s="33">
        <f t="shared" ref="E55:G55" si="10">$C$50/$C$52</f>
        <v>2.2499999999999998E-3</v>
      </c>
      <c r="F55" s="33">
        <f t="shared" si="10"/>
        <v>2.2499999999999998E-3</v>
      </c>
      <c r="G55" s="33">
        <f t="shared" si="10"/>
        <v>2.2499999999999998E-3</v>
      </c>
      <c r="H55" s="19" t="s">
        <v>5</v>
      </c>
      <c r="J55" s="31">
        <f t="shared" si="3"/>
        <v>2.25</v>
      </c>
      <c r="K55" s="31">
        <f t="shared" si="3"/>
        <v>2.25</v>
      </c>
      <c r="L55" s="31">
        <f t="shared" si="3"/>
        <v>2.25</v>
      </c>
      <c r="M55" s="31">
        <f t="shared" si="3"/>
        <v>2.25</v>
      </c>
      <c r="N55" s="31">
        <f t="shared" si="3"/>
        <v>2.25</v>
      </c>
      <c r="O55" s="32" t="str">
        <f t="shared" si="2"/>
        <v>mOhm</v>
      </c>
      <c r="P55" s="19"/>
      <c r="Q55" s="19"/>
    </row>
    <row r="56" spans="2:21" ht="15.6" thickTop="1" thickBot="1" x14ac:dyDescent="0.35">
      <c r="B56" s="29" t="s">
        <v>59</v>
      </c>
      <c r="C56" s="34">
        <f>$C$5/(4*$C$13*$C$54)</f>
        <v>9.0070615362444137E-3</v>
      </c>
      <c r="D56" s="34">
        <f>$C$5/(4*$C$13*D54)</f>
        <v>5.2076823730367039E-3</v>
      </c>
      <c r="E56" s="34">
        <f t="shared" ref="E56:G56" si="11">$C$5/(4*$C$13*E54)</f>
        <v>5.4983724817454036E-3</v>
      </c>
      <c r="F56" s="34">
        <f t="shared" si="11"/>
        <v>6.6998981615479436E-3</v>
      </c>
      <c r="G56" s="34">
        <f t="shared" si="11"/>
        <v>9.0070615362444137E-3</v>
      </c>
      <c r="H56" s="19" t="s">
        <v>0</v>
      </c>
      <c r="J56" s="26">
        <f t="shared" si="3"/>
        <v>9.0069999999999997</v>
      </c>
      <c r="K56" s="26">
        <f t="shared" si="3"/>
        <v>5.2080000000000002</v>
      </c>
      <c r="L56" s="26">
        <f t="shared" si="3"/>
        <v>5.4980000000000002</v>
      </c>
      <c r="M56" s="26">
        <f t="shared" si="3"/>
        <v>6.7</v>
      </c>
      <c r="N56" s="26">
        <f t="shared" si="3"/>
        <v>9.0069999999999997</v>
      </c>
      <c r="O56" s="37" t="str">
        <f t="shared" si="2"/>
        <v>mV</v>
      </c>
      <c r="P56" s="19"/>
      <c r="Q56" s="19"/>
    </row>
    <row r="57" spans="2:21" ht="15" thickTop="1" x14ac:dyDescent="0.3">
      <c r="B57" s="41" t="s">
        <v>84</v>
      </c>
      <c r="J57" s="19" t="str">
        <f t="shared" si="3"/>
        <v/>
      </c>
      <c r="K57" s="19" t="str">
        <f t="shared" si="3"/>
        <v/>
      </c>
      <c r="L57" s="19" t="str">
        <f t="shared" si="3"/>
        <v/>
      </c>
      <c r="M57" s="19" t="str">
        <f t="shared" si="3"/>
        <v/>
      </c>
      <c r="N57" s="19" t="str">
        <f t="shared" si="3"/>
        <v/>
      </c>
      <c r="O57" s="19" t="str">
        <f t="shared" si="2"/>
        <v/>
      </c>
      <c r="P57" s="19"/>
      <c r="Q57" s="19"/>
    </row>
    <row r="58" spans="2:21" x14ac:dyDescent="0.3">
      <c r="B58" s="29" t="s">
        <v>51</v>
      </c>
      <c r="C58" s="30">
        <v>2.5000000000000001E-2</v>
      </c>
      <c r="H58" s="19" t="s">
        <v>0</v>
      </c>
      <c r="J58" s="26">
        <f t="shared" si="3"/>
        <v>25</v>
      </c>
      <c r="K58" s="26" t="str">
        <f t="shared" si="3"/>
        <v/>
      </c>
      <c r="L58" s="26" t="str">
        <f t="shared" si="3"/>
        <v/>
      </c>
      <c r="M58" s="26" t="str">
        <f t="shared" si="3"/>
        <v/>
      </c>
      <c r="N58" s="26" t="str">
        <f t="shared" si="3"/>
        <v/>
      </c>
      <c r="O58" s="27" t="str">
        <f t="shared" si="2"/>
        <v>mV</v>
      </c>
      <c r="P58" s="19"/>
      <c r="Q58" s="19"/>
      <c r="U58" s="19" t="s">
        <v>55</v>
      </c>
    </row>
    <row r="59" spans="2:21" x14ac:dyDescent="0.3">
      <c r="B59" s="29" t="s">
        <v>77</v>
      </c>
      <c r="C59" s="30">
        <v>2E-3</v>
      </c>
      <c r="H59" s="19" t="s">
        <v>11</v>
      </c>
      <c r="J59" s="26">
        <f t="shared" si="3"/>
        <v>2</v>
      </c>
      <c r="K59" s="26" t="str">
        <f t="shared" si="3"/>
        <v/>
      </c>
      <c r="L59" s="26" t="str">
        <f t="shared" si="3"/>
        <v/>
      </c>
      <c r="M59" s="26" t="str">
        <f t="shared" si="3"/>
        <v/>
      </c>
      <c r="N59" s="26" t="str">
        <f t="shared" si="3"/>
        <v/>
      </c>
      <c r="O59" s="27" t="str">
        <f t="shared" si="2"/>
        <v>mOhms</v>
      </c>
      <c r="P59" s="19"/>
      <c r="Q59" s="19"/>
    </row>
    <row r="60" spans="2:21" x14ac:dyDescent="0.3">
      <c r="B60" s="29" t="s">
        <v>52</v>
      </c>
      <c r="C60" s="33">
        <f>1/(8*$C$13*SQRT(($C$58/$C$24)^2-$C$59^2))</f>
        <v>1.1158954642831456E-6</v>
      </c>
      <c r="H60" s="19" t="s">
        <v>37</v>
      </c>
      <c r="J60" s="26">
        <f t="shared" si="3"/>
        <v>1.1160000000000001</v>
      </c>
      <c r="K60" s="26" t="str">
        <f t="shared" si="3"/>
        <v/>
      </c>
      <c r="L60" s="26" t="str">
        <f t="shared" si="3"/>
        <v/>
      </c>
      <c r="M60" s="26" t="str">
        <f t="shared" si="3"/>
        <v/>
      </c>
      <c r="N60" s="26" t="str">
        <f t="shared" si="3"/>
        <v/>
      </c>
      <c r="O60" s="27" t="str">
        <f t="shared" si="2"/>
        <v>µF</v>
      </c>
      <c r="P60" s="19"/>
      <c r="Q60" s="19"/>
    </row>
    <row r="61" spans="2:21" x14ac:dyDescent="0.3">
      <c r="B61" s="29" t="s">
        <v>109</v>
      </c>
      <c r="C61" s="30">
        <v>1.5E-5</v>
      </c>
      <c r="D61"/>
      <c r="E61"/>
      <c r="F61"/>
      <c r="G61"/>
      <c r="H61" s="19" t="s">
        <v>37</v>
      </c>
      <c r="J61" s="31">
        <f t="shared" si="3"/>
        <v>15</v>
      </c>
      <c r="K61" s="31" t="str">
        <f t="shared" si="3"/>
        <v/>
      </c>
      <c r="L61" s="31" t="str">
        <f t="shared" si="3"/>
        <v/>
      </c>
      <c r="M61" s="31" t="str">
        <f t="shared" si="3"/>
        <v/>
      </c>
      <c r="N61" s="31" t="str">
        <f t="shared" si="3"/>
        <v/>
      </c>
      <c r="O61" s="32" t="str">
        <f t="shared" si="2"/>
        <v>µF</v>
      </c>
      <c r="P61" s="42" t="s">
        <v>151</v>
      </c>
      <c r="Q61" s="44" t="s">
        <v>151</v>
      </c>
      <c r="R61" s="19" t="s">
        <v>107</v>
      </c>
      <c r="S61" s="38" t="s">
        <v>108</v>
      </c>
    </row>
    <row r="62" spans="2:21" x14ac:dyDescent="0.3">
      <c r="B62" s="29" t="s">
        <v>76</v>
      </c>
      <c r="C62" s="30">
        <v>4.4999999999999997E-3</v>
      </c>
      <c r="D62"/>
      <c r="E62"/>
      <c r="F62"/>
      <c r="G62"/>
      <c r="H62" s="19" t="s">
        <v>5</v>
      </c>
      <c r="J62" s="31">
        <f t="shared" si="3"/>
        <v>4.5</v>
      </c>
      <c r="K62" s="31" t="str">
        <f t="shared" si="3"/>
        <v/>
      </c>
      <c r="L62" s="31" t="str">
        <f t="shared" si="3"/>
        <v/>
      </c>
      <c r="M62" s="31" t="str">
        <f t="shared" si="3"/>
        <v/>
      </c>
      <c r="N62" s="31" t="str">
        <f t="shared" si="3"/>
        <v/>
      </c>
      <c r="O62" s="32" t="str">
        <f t="shared" si="2"/>
        <v>mOhm</v>
      </c>
      <c r="P62" s="19"/>
      <c r="Q62" s="19"/>
      <c r="U62" s="19" t="s">
        <v>112</v>
      </c>
    </row>
    <row r="63" spans="2:21" x14ac:dyDescent="0.3">
      <c r="B63" s="29" t="s">
        <v>110</v>
      </c>
      <c r="C63" s="39">
        <f>1-0.003</f>
        <v>0.997</v>
      </c>
      <c r="D63"/>
      <c r="E63"/>
      <c r="F63"/>
      <c r="G63"/>
      <c r="J63" s="31">
        <f t="shared" si="3"/>
        <v>997</v>
      </c>
      <c r="K63" s="31" t="str">
        <f t="shared" si="3"/>
        <v/>
      </c>
      <c r="L63" s="31" t="str">
        <f t="shared" si="3"/>
        <v/>
      </c>
      <c r="M63" s="31" t="str">
        <f t="shared" si="3"/>
        <v/>
      </c>
      <c r="N63" s="31" t="str">
        <f t="shared" si="3"/>
        <v/>
      </c>
      <c r="O63" s="32" t="str">
        <f t="shared" si="2"/>
        <v/>
      </c>
      <c r="P63" s="19"/>
      <c r="Q63" s="19"/>
      <c r="U63" s="19" t="s">
        <v>112</v>
      </c>
    </row>
    <row r="64" spans="2:21" x14ac:dyDescent="0.3">
      <c r="B64" s="29" t="s">
        <v>111</v>
      </c>
      <c r="C64" s="25">
        <v>1</v>
      </c>
      <c r="D64"/>
      <c r="E64"/>
      <c r="F64"/>
      <c r="G64"/>
      <c r="J64" s="31">
        <f t="shared" si="3"/>
        <v>1</v>
      </c>
      <c r="K64" s="31" t="str">
        <f t="shared" si="3"/>
        <v/>
      </c>
      <c r="L64" s="31" t="str">
        <f t="shared" si="3"/>
        <v/>
      </c>
      <c r="M64" s="31" t="str">
        <f t="shared" si="3"/>
        <v/>
      </c>
      <c r="N64" s="31" t="str">
        <f t="shared" si="3"/>
        <v/>
      </c>
      <c r="O64" s="32" t="str">
        <f t="shared" si="2"/>
        <v/>
      </c>
      <c r="P64" s="19"/>
      <c r="Q64" s="19"/>
    </row>
    <row r="65" spans="2:19" x14ac:dyDescent="0.3">
      <c r="B65" s="29" t="s">
        <v>53</v>
      </c>
      <c r="C65" s="33">
        <f>$C$63*$C$61</f>
        <v>1.4955E-5</v>
      </c>
      <c r="H65" s="19" t="s">
        <v>37</v>
      </c>
      <c r="J65" s="31">
        <f t="shared" si="3"/>
        <v>14.955</v>
      </c>
      <c r="K65" s="31" t="str">
        <f t="shared" si="3"/>
        <v/>
      </c>
      <c r="L65" s="31" t="str">
        <f t="shared" si="3"/>
        <v/>
      </c>
      <c r="M65" s="31" t="str">
        <f t="shared" si="3"/>
        <v/>
      </c>
      <c r="N65" s="31" t="str">
        <f t="shared" si="3"/>
        <v/>
      </c>
      <c r="O65" s="32" t="str">
        <f t="shared" si="2"/>
        <v>µF</v>
      </c>
      <c r="P65" s="19"/>
      <c r="Q65" s="19"/>
    </row>
    <row r="66" spans="2:19" x14ac:dyDescent="0.3">
      <c r="B66" s="29" t="s">
        <v>116</v>
      </c>
      <c r="C66" s="33">
        <f>$C$64*$C$63*$C$61</f>
        <v>1.4955E-5</v>
      </c>
      <c r="H66" s="19" t="s">
        <v>37</v>
      </c>
      <c r="J66" s="31">
        <f t="shared" si="3"/>
        <v>14.955</v>
      </c>
      <c r="K66" s="31" t="str">
        <f t="shared" si="3"/>
        <v/>
      </c>
      <c r="L66" s="31" t="str">
        <f t="shared" si="3"/>
        <v/>
      </c>
      <c r="M66" s="31" t="str">
        <f t="shared" si="3"/>
        <v/>
      </c>
      <c r="N66" s="31" t="str">
        <f t="shared" si="3"/>
        <v/>
      </c>
      <c r="O66" s="32" t="str">
        <f t="shared" si="2"/>
        <v>µF</v>
      </c>
      <c r="P66" s="19"/>
      <c r="Q66" s="19"/>
    </row>
    <row r="67" spans="2:19" ht="15" thickBot="1" x14ac:dyDescent="0.35">
      <c r="B67" s="29" t="s">
        <v>76</v>
      </c>
      <c r="C67" s="33">
        <f>$C$62/$C$64</f>
        <v>4.4999999999999997E-3</v>
      </c>
      <c r="H67" s="19" t="s">
        <v>11</v>
      </c>
      <c r="J67" s="31">
        <f t="shared" si="3"/>
        <v>4.5</v>
      </c>
      <c r="K67" s="31" t="str">
        <f t="shared" si="3"/>
        <v/>
      </c>
      <c r="L67" s="31" t="str">
        <f t="shared" si="3"/>
        <v/>
      </c>
      <c r="M67" s="31" t="str">
        <f t="shared" si="3"/>
        <v/>
      </c>
      <c r="N67" s="31" t="str">
        <f t="shared" si="3"/>
        <v/>
      </c>
      <c r="O67" s="32" t="str">
        <f t="shared" si="2"/>
        <v>mOhms</v>
      </c>
      <c r="P67" s="19"/>
      <c r="Q67" s="19"/>
    </row>
    <row r="68" spans="2:19" ht="15.6" thickTop="1" thickBot="1" x14ac:dyDescent="0.35">
      <c r="B68" s="29" t="s">
        <v>54</v>
      </c>
      <c r="C68" s="34">
        <f>$C$24*SQRT($C$67^2+(1/(8*$C$13*$C$66))^2)</f>
        <v>1.9193252042802942E-3</v>
      </c>
      <c r="H68" s="19" t="s">
        <v>0</v>
      </c>
      <c r="J68" s="26">
        <f t="shared" si="3"/>
        <v>1.919</v>
      </c>
      <c r="K68" s="26" t="str">
        <f t="shared" si="3"/>
        <v/>
      </c>
      <c r="L68" s="26" t="str">
        <f t="shared" si="3"/>
        <v/>
      </c>
      <c r="M68" s="26" t="str">
        <f t="shared" si="3"/>
        <v/>
      </c>
      <c r="N68" s="26" t="str">
        <f t="shared" si="3"/>
        <v/>
      </c>
      <c r="O68" s="27" t="str">
        <f t="shared" si="2"/>
        <v>mV</v>
      </c>
      <c r="P68" s="19"/>
      <c r="Q68" s="19"/>
    </row>
    <row r="69" spans="2:19" ht="15" thickTop="1" x14ac:dyDescent="0.3">
      <c r="B69" s="41" t="s">
        <v>84</v>
      </c>
      <c r="J69" s="19" t="str">
        <f t="shared" si="3"/>
        <v/>
      </c>
      <c r="K69" s="19" t="str">
        <f t="shared" si="3"/>
        <v/>
      </c>
      <c r="L69" s="19" t="str">
        <f t="shared" si="3"/>
        <v/>
      </c>
      <c r="M69" s="19" t="str">
        <f t="shared" si="3"/>
        <v/>
      </c>
      <c r="N69" s="19" t="str">
        <f t="shared" si="3"/>
        <v/>
      </c>
      <c r="O69" s="19" t="str">
        <f t="shared" si="2"/>
        <v/>
      </c>
      <c r="P69" s="19"/>
      <c r="Q69" s="19"/>
    </row>
    <row r="70" spans="2:19" x14ac:dyDescent="0.3">
      <c r="B70" s="29" t="s">
        <v>65</v>
      </c>
      <c r="C70" s="25">
        <v>10</v>
      </c>
      <c r="J70" s="26">
        <f t="shared" si="3"/>
        <v>10</v>
      </c>
      <c r="K70" s="26" t="str">
        <f t="shared" si="3"/>
        <v/>
      </c>
      <c r="L70" s="26" t="str">
        <f t="shared" si="3"/>
        <v/>
      </c>
      <c r="M70" s="26" t="str">
        <f t="shared" si="3"/>
        <v/>
      </c>
      <c r="N70" s="26" t="str">
        <f t="shared" si="3"/>
        <v/>
      </c>
      <c r="O70" s="27" t="str">
        <f t="shared" si="2"/>
        <v/>
      </c>
      <c r="P70" s="19"/>
      <c r="Q70" s="19"/>
    </row>
    <row r="71" spans="2:19" x14ac:dyDescent="0.3">
      <c r="B71" s="29" t="s">
        <v>66</v>
      </c>
      <c r="C71" s="33">
        <f>$C$13/$C$70</f>
        <v>45000</v>
      </c>
      <c r="H71" s="19" t="s">
        <v>3</v>
      </c>
      <c r="J71" s="26">
        <f t="shared" si="3"/>
        <v>45</v>
      </c>
      <c r="K71" s="26" t="str">
        <f t="shared" si="3"/>
        <v/>
      </c>
      <c r="L71" s="26" t="str">
        <f t="shared" si="3"/>
        <v/>
      </c>
      <c r="M71" s="26" t="str">
        <f t="shared" si="3"/>
        <v/>
      </c>
      <c r="N71" s="26" t="str">
        <f t="shared" si="3"/>
        <v/>
      </c>
      <c r="O71" s="27" t="str">
        <f t="shared" si="2"/>
        <v>kHz</v>
      </c>
      <c r="P71" s="19"/>
      <c r="Q71" s="19"/>
    </row>
    <row r="72" spans="2:19" x14ac:dyDescent="0.3">
      <c r="B72" s="29" t="s">
        <v>67</v>
      </c>
      <c r="C72" s="33">
        <f>2*PI()*$C$30*10*$C$66*$C$8*$C$71</f>
        <v>3164.9773341262376</v>
      </c>
      <c r="H72" s="19" t="s">
        <v>11</v>
      </c>
      <c r="J72" s="26">
        <f t="shared" ref="J72:N85" si="12">IF(ISBLANK(C72),"",IFERROR(ROUND(C72 / (
  1000 ^ INT(LOG(ABS(C72),1000)) ),3
),"-"))</f>
        <v>3.165</v>
      </c>
      <c r="K72" s="26" t="str">
        <f t="shared" si="12"/>
        <v/>
      </c>
      <c r="L72" s="26" t="str">
        <f t="shared" si="12"/>
        <v/>
      </c>
      <c r="M72" s="26" t="str">
        <f t="shared" si="12"/>
        <v/>
      </c>
      <c r="N72" s="26" t="str">
        <f t="shared" si="12"/>
        <v/>
      </c>
      <c r="O72" s="37" t="str">
        <f t="shared" si="2"/>
        <v>kOhms</v>
      </c>
      <c r="P72" s="19"/>
      <c r="Q72" s="19"/>
    </row>
    <row r="73" spans="2:19" ht="15" thickBot="1" x14ac:dyDescent="0.35">
      <c r="B73" s="29" t="s">
        <v>69</v>
      </c>
      <c r="C73" s="30">
        <v>3160</v>
      </c>
      <c r="H73" s="19" t="s">
        <v>11</v>
      </c>
      <c r="J73" s="31">
        <f t="shared" si="12"/>
        <v>3.16</v>
      </c>
      <c r="K73" s="31" t="str">
        <f t="shared" si="12"/>
        <v/>
      </c>
      <c r="L73" s="31" t="str">
        <f t="shared" si="12"/>
        <v/>
      </c>
      <c r="M73" s="31" t="str">
        <f t="shared" si="12"/>
        <v/>
      </c>
      <c r="N73" s="31" t="str">
        <f t="shared" si="12"/>
        <v/>
      </c>
      <c r="O73" s="32" t="str">
        <f t="shared" si="2"/>
        <v>kOhms</v>
      </c>
      <c r="P73" s="42" t="s">
        <v>151</v>
      </c>
      <c r="Q73" s="44" t="s">
        <v>151</v>
      </c>
      <c r="R73" s="19" t="s">
        <v>99</v>
      </c>
      <c r="S73" s="38" t="s">
        <v>121</v>
      </c>
    </row>
    <row r="74" spans="2:19" ht="15.6" thickTop="1" thickBot="1" x14ac:dyDescent="0.35">
      <c r="B74" s="29" t="s">
        <v>70</v>
      </c>
      <c r="C74" s="34">
        <f>$C$73/(2*PI()*$C$30*10*$C$66*$C$8)</f>
        <v>44929.231709413638</v>
      </c>
      <c r="H74" s="19" t="s">
        <v>3</v>
      </c>
      <c r="J74" s="26">
        <f t="shared" si="12"/>
        <v>44.929000000000002</v>
      </c>
      <c r="K74" s="26" t="str">
        <f t="shared" si="12"/>
        <v/>
      </c>
      <c r="L74" s="26" t="str">
        <f t="shared" si="12"/>
        <v/>
      </c>
      <c r="M74" s="26" t="str">
        <f t="shared" si="12"/>
        <v/>
      </c>
      <c r="N74" s="26" t="str">
        <f t="shared" si="12"/>
        <v/>
      </c>
      <c r="O74" s="37" t="str">
        <f t="shared" si="2"/>
        <v>kHz</v>
      </c>
      <c r="P74" s="19"/>
      <c r="Q74" s="19"/>
    </row>
    <row r="75" spans="2:19" ht="15" thickTop="1" x14ac:dyDescent="0.3">
      <c r="B75" s="41" t="s">
        <v>84</v>
      </c>
      <c r="J75" s="19" t="str">
        <f t="shared" si="12"/>
        <v/>
      </c>
      <c r="K75" s="19" t="str">
        <f t="shared" si="12"/>
        <v/>
      </c>
      <c r="L75" s="19" t="str">
        <f t="shared" si="12"/>
        <v/>
      </c>
      <c r="M75" s="19" t="str">
        <f t="shared" si="12"/>
        <v/>
      </c>
      <c r="N75" s="19" t="str">
        <f t="shared" si="12"/>
        <v/>
      </c>
      <c r="O75" s="19" t="str">
        <f t="shared" si="2"/>
        <v/>
      </c>
      <c r="P75" s="19"/>
      <c r="Q75" s="19"/>
    </row>
    <row r="76" spans="2:19" x14ac:dyDescent="0.3">
      <c r="B76" s="29" t="s">
        <v>71</v>
      </c>
      <c r="C76" s="33">
        <f>($C$7/$C$5)*$C$66/$C$73</f>
        <v>9.4651898734177222E-8</v>
      </c>
      <c r="H76" s="19" t="s">
        <v>37</v>
      </c>
      <c r="J76" s="26">
        <f t="shared" si="12"/>
        <v>94.652000000000001</v>
      </c>
      <c r="K76" s="26" t="str">
        <f t="shared" si="12"/>
        <v/>
      </c>
      <c r="L76" s="26" t="str">
        <f t="shared" si="12"/>
        <v/>
      </c>
      <c r="M76" s="26" t="str">
        <f t="shared" si="12"/>
        <v/>
      </c>
      <c r="N76" s="26" t="str">
        <f t="shared" si="12"/>
        <v/>
      </c>
      <c r="O76" s="37" t="str">
        <f t="shared" si="2"/>
        <v>nF</v>
      </c>
      <c r="P76" s="19"/>
      <c r="Q76" s="19"/>
    </row>
    <row r="77" spans="2:19" x14ac:dyDescent="0.3">
      <c r="B77" s="29" t="s">
        <v>72</v>
      </c>
      <c r="C77" s="30">
        <v>9.9999999999999995E-8</v>
      </c>
      <c r="H77" s="19" t="s">
        <v>37</v>
      </c>
      <c r="J77" s="31">
        <f t="shared" si="12"/>
        <v>100</v>
      </c>
      <c r="K77" s="31" t="str">
        <f t="shared" si="12"/>
        <v/>
      </c>
      <c r="L77" s="31" t="str">
        <f t="shared" si="12"/>
        <v/>
      </c>
      <c r="M77" s="31" t="str">
        <f t="shared" si="12"/>
        <v/>
      </c>
      <c r="N77" s="31" t="str">
        <f t="shared" si="12"/>
        <v/>
      </c>
      <c r="O77" s="32" t="str">
        <f t="shared" si="2"/>
        <v>nF</v>
      </c>
      <c r="P77" s="42" t="s">
        <v>151</v>
      </c>
      <c r="Q77" s="44" t="s">
        <v>151</v>
      </c>
      <c r="R77" s="19" t="s">
        <v>97</v>
      </c>
      <c r="S77" s="38" t="s">
        <v>115</v>
      </c>
    </row>
    <row r="78" spans="2:19" x14ac:dyDescent="0.3">
      <c r="B78" s="41" t="s">
        <v>84</v>
      </c>
      <c r="J78" s="19" t="str">
        <f t="shared" si="12"/>
        <v/>
      </c>
      <c r="K78" s="19" t="str">
        <f t="shared" si="12"/>
        <v/>
      </c>
      <c r="L78" s="19" t="str">
        <f t="shared" si="12"/>
        <v/>
      </c>
      <c r="M78" s="19" t="str">
        <f t="shared" si="12"/>
        <v/>
      </c>
      <c r="N78" s="19" t="str">
        <f t="shared" si="12"/>
        <v/>
      </c>
      <c r="O78" s="19" t="str">
        <f t="shared" si="2"/>
        <v/>
      </c>
      <c r="P78" s="19"/>
      <c r="Q78" s="19"/>
    </row>
    <row r="79" spans="2:19" x14ac:dyDescent="0.3">
      <c r="B79" s="29" t="s">
        <v>73</v>
      </c>
      <c r="C79" s="33">
        <f>(($C$67/2)*$C$66*$C$77)/($C$73*$C$77-($C$67/2)*$C$66)</f>
        <v>1.0649472599497253E-11</v>
      </c>
      <c r="H79" s="19" t="s">
        <v>37</v>
      </c>
      <c r="J79" s="26">
        <f t="shared" si="12"/>
        <v>10.648999999999999</v>
      </c>
      <c r="K79" s="26" t="str">
        <f t="shared" si="12"/>
        <v/>
      </c>
      <c r="L79" s="26" t="str">
        <f t="shared" si="12"/>
        <v/>
      </c>
      <c r="M79" s="26" t="str">
        <f t="shared" si="12"/>
        <v/>
      </c>
      <c r="N79" s="26" t="str">
        <f t="shared" si="12"/>
        <v/>
      </c>
      <c r="O79" s="37" t="str">
        <f t="shared" si="2"/>
        <v>pF</v>
      </c>
      <c r="P79" s="19"/>
      <c r="Q79" s="19"/>
    </row>
    <row r="80" spans="2:19" x14ac:dyDescent="0.3">
      <c r="B80" s="29" t="s">
        <v>74</v>
      </c>
      <c r="C80" s="30">
        <v>9.9999999999999994E-12</v>
      </c>
      <c r="H80" s="19" t="s">
        <v>37</v>
      </c>
      <c r="J80" s="31">
        <f t="shared" si="12"/>
        <v>10</v>
      </c>
      <c r="K80" s="31" t="str">
        <f t="shared" si="12"/>
        <v/>
      </c>
      <c r="L80" s="31" t="str">
        <f t="shared" si="12"/>
        <v/>
      </c>
      <c r="M80" s="31" t="str">
        <f t="shared" si="12"/>
        <v/>
      </c>
      <c r="N80" s="31" t="str">
        <f t="shared" si="12"/>
        <v/>
      </c>
      <c r="O80" s="32" t="str">
        <f t="shared" si="2"/>
        <v>pF</v>
      </c>
      <c r="P80" s="42" t="s">
        <v>151</v>
      </c>
      <c r="Q80" s="44" t="s">
        <v>151</v>
      </c>
      <c r="R80" s="19" t="s">
        <v>97</v>
      </c>
      <c r="S80" s="38" t="s">
        <v>122</v>
      </c>
    </row>
    <row r="81" spans="2:21" x14ac:dyDescent="0.3">
      <c r="B81" s="41" t="s">
        <v>84</v>
      </c>
      <c r="J81" s="19" t="str">
        <f t="shared" si="12"/>
        <v/>
      </c>
      <c r="K81" s="19" t="str">
        <f t="shared" si="12"/>
        <v/>
      </c>
      <c r="L81" s="19" t="str">
        <f t="shared" si="12"/>
        <v/>
      </c>
      <c r="M81" s="19" t="str">
        <f t="shared" si="12"/>
        <v/>
      </c>
      <c r="N81" s="19" t="str">
        <f t="shared" si="12"/>
        <v/>
      </c>
      <c r="O81" s="19" t="str">
        <f t="shared" si="2"/>
        <v/>
      </c>
      <c r="P81" s="19"/>
      <c r="Q81" s="19"/>
    </row>
    <row r="82" spans="2:21" x14ac:dyDescent="0.3">
      <c r="B82" s="29" t="s">
        <v>78</v>
      </c>
      <c r="C82" s="33">
        <f>1/(2*PI()*$C$66*$C$7/$C$5)</f>
        <v>532.11281541924211</v>
      </c>
      <c r="H82" s="19" t="s">
        <v>3</v>
      </c>
      <c r="J82" s="26">
        <f t="shared" si="12"/>
        <v>532.11300000000006</v>
      </c>
      <c r="K82" s="26" t="str">
        <f t="shared" si="12"/>
        <v/>
      </c>
      <c r="L82" s="26" t="str">
        <f t="shared" si="12"/>
        <v/>
      </c>
      <c r="M82" s="26" t="str">
        <f t="shared" si="12"/>
        <v/>
      </c>
      <c r="N82" s="26" t="str">
        <f t="shared" si="12"/>
        <v/>
      </c>
      <c r="O82" s="37" t="str">
        <f t="shared" ref="O82:O85" si="13">IF(ISBLANK($H82),"",IFERROR(CHOOSE(
  INT(LOG(ABS(C82),1000)) + 6,"f","p","n","µ","m","","k","M","G","T","P"
) &amp; $H82,"-"))</f>
        <v>Hz</v>
      </c>
      <c r="P82" s="19"/>
      <c r="Q82" s="19"/>
    </row>
    <row r="83" spans="2:21" x14ac:dyDescent="0.3">
      <c r="B83" s="29" t="s">
        <v>79</v>
      </c>
      <c r="C83" s="33">
        <f>1/(2*PI()*$C$73*$C$77)</f>
        <v>503.65488320220049</v>
      </c>
      <c r="H83" s="19" t="s">
        <v>3</v>
      </c>
      <c r="J83" s="26">
        <f t="shared" si="12"/>
        <v>503.65499999999997</v>
      </c>
      <c r="K83" s="26" t="str">
        <f t="shared" si="12"/>
        <v/>
      </c>
      <c r="L83" s="26" t="str">
        <f t="shared" si="12"/>
        <v/>
      </c>
      <c r="M83" s="26" t="str">
        <f t="shared" si="12"/>
        <v/>
      </c>
      <c r="N83" s="26" t="str">
        <f t="shared" si="12"/>
        <v/>
      </c>
      <c r="O83" s="37" t="str">
        <f t="shared" si="13"/>
        <v>Hz</v>
      </c>
      <c r="P83" s="19"/>
      <c r="Q83" s="19"/>
    </row>
    <row r="84" spans="2:21" x14ac:dyDescent="0.3">
      <c r="B84" s="29" t="s">
        <v>80</v>
      </c>
      <c r="C84" s="33">
        <f>1/(2*PI()*$C$73*(1/(1/$C$80+1/$C$77)))</f>
        <v>5037052.486905206</v>
      </c>
      <c r="H84" s="19" t="s">
        <v>3</v>
      </c>
      <c r="J84" s="26">
        <f t="shared" si="12"/>
        <v>5.0369999999999999</v>
      </c>
      <c r="K84" s="26" t="str">
        <f t="shared" si="12"/>
        <v/>
      </c>
      <c r="L84" s="26" t="str">
        <f t="shared" si="12"/>
        <v/>
      </c>
      <c r="M84" s="26" t="str">
        <f t="shared" si="12"/>
        <v/>
      </c>
      <c r="N84" s="26" t="str">
        <f t="shared" si="12"/>
        <v/>
      </c>
      <c r="O84" s="37" t="str">
        <f t="shared" si="13"/>
        <v>MHz</v>
      </c>
      <c r="P84" s="19"/>
      <c r="Q84" s="19"/>
    </row>
    <row r="85" spans="2:21" x14ac:dyDescent="0.3">
      <c r="B85" s="29" t="s">
        <v>81</v>
      </c>
      <c r="C85" s="33">
        <f>1/($C$67*$C$66)</f>
        <v>14859392.993796203</v>
      </c>
      <c r="H85" s="19" t="s">
        <v>3</v>
      </c>
      <c r="J85" s="26">
        <f t="shared" si="12"/>
        <v>14.859</v>
      </c>
      <c r="K85" s="26" t="str">
        <f t="shared" si="12"/>
        <v/>
      </c>
      <c r="L85" s="26" t="str">
        <f t="shared" si="12"/>
        <v/>
      </c>
      <c r="M85" s="26" t="str">
        <f t="shared" si="12"/>
        <v/>
      </c>
      <c r="N85" s="26" t="str">
        <f t="shared" si="12"/>
        <v/>
      </c>
      <c r="O85" s="37" t="str">
        <f t="shared" si="13"/>
        <v>MHz</v>
      </c>
      <c r="P85" s="19"/>
      <c r="Q85" s="19"/>
    </row>
    <row r="86" spans="2:21" x14ac:dyDescent="0.3">
      <c r="B86" s="41" t="s">
        <v>84</v>
      </c>
      <c r="P86" s="19"/>
      <c r="Q86" s="19"/>
    </row>
    <row r="87" spans="2:21" x14ac:dyDescent="0.3">
      <c r="B87" s="41" t="s">
        <v>84</v>
      </c>
      <c r="P87" s="19"/>
      <c r="Q87" s="19"/>
    </row>
    <row r="88" spans="2:21" x14ac:dyDescent="0.3">
      <c r="B88" s="29" t="s">
        <v>126</v>
      </c>
      <c r="C88" s="30">
        <v>10700</v>
      </c>
      <c r="H88" s="19" t="s">
        <v>11</v>
      </c>
      <c r="J88" s="31">
        <f t="shared" ref="J88:N90" si="14">IF(ISBLANK(C88),"",IFERROR(ROUND(C88 / (
  1000 ^ INT(LOG(ABS(C88),1000)) ),3
),"-"))</f>
        <v>10.7</v>
      </c>
      <c r="K88" s="31" t="str">
        <f t="shared" si="14"/>
        <v/>
      </c>
      <c r="L88" s="31" t="str">
        <f t="shared" si="14"/>
        <v/>
      </c>
      <c r="M88" s="31" t="str">
        <f t="shared" si="14"/>
        <v/>
      </c>
      <c r="N88" s="31" t="str">
        <f t="shared" si="14"/>
        <v/>
      </c>
      <c r="O88" s="32" t="str">
        <f t="shared" ref="O88:O90" si="15">IF(ISBLANK($H88),"",IFERROR(CHOOSE(
  INT(LOG(ABS(C88),1000)) + 6,"f","p","n","µ","m","","k","M","G","T","P"
) &amp; $H88,"-"))</f>
        <v>kOhms</v>
      </c>
      <c r="P88" s="42" t="s">
        <v>151</v>
      </c>
      <c r="Q88" s="44" t="s">
        <v>151</v>
      </c>
      <c r="R88" s="19" t="s">
        <v>99</v>
      </c>
      <c r="S88" s="38" t="s">
        <v>127</v>
      </c>
      <c r="T88" s="19" t="s">
        <v>155</v>
      </c>
    </row>
    <row r="89" spans="2:21" x14ac:dyDescent="0.3">
      <c r="B89" s="29" t="s">
        <v>128</v>
      </c>
      <c r="C89" s="30">
        <v>4.7E-7</v>
      </c>
      <c r="H89" s="19" t="s">
        <v>37</v>
      </c>
      <c r="J89" s="31">
        <f t="shared" si="14"/>
        <v>470</v>
      </c>
      <c r="K89" s="31" t="str">
        <f t="shared" si="14"/>
        <v/>
      </c>
      <c r="L89" s="31" t="str">
        <f t="shared" si="14"/>
        <v/>
      </c>
      <c r="M89" s="31" t="str">
        <f t="shared" si="14"/>
        <v/>
      </c>
      <c r="N89" s="31" t="str">
        <f t="shared" si="14"/>
        <v/>
      </c>
      <c r="O89" s="32" t="str">
        <f t="shared" si="15"/>
        <v>nF</v>
      </c>
      <c r="P89" s="42" t="s">
        <v>151</v>
      </c>
      <c r="Q89" s="44" t="s">
        <v>151</v>
      </c>
      <c r="R89" s="19" t="s">
        <v>97</v>
      </c>
      <c r="S89" s="38" t="s">
        <v>129</v>
      </c>
    </row>
    <row r="90" spans="2:21" x14ac:dyDescent="0.3">
      <c r="B90" s="29" t="s">
        <v>130</v>
      </c>
      <c r="C90" s="30">
        <v>1.2E-8</v>
      </c>
      <c r="H90" s="19" t="s">
        <v>37</v>
      </c>
      <c r="J90" s="31">
        <f t="shared" si="14"/>
        <v>12</v>
      </c>
      <c r="K90" s="31" t="str">
        <f t="shared" si="14"/>
        <v/>
      </c>
      <c r="L90" s="31" t="str">
        <f t="shared" si="14"/>
        <v/>
      </c>
      <c r="M90" s="31" t="str">
        <f t="shared" si="14"/>
        <v/>
      </c>
      <c r="N90" s="31" t="str">
        <f t="shared" si="14"/>
        <v/>
      </c>
      <c r="O90" s="32" t="str">
        <f t="shared" si="15"/>
        <v>nF</v>
      </c>
      <c r="P90" s="42" t="s">
        <v>151</v>
      </c>
      <c r="Q90" s="44" t="s">
        <v>151</v>
      </c>
      <c r="R90" s="19" t="s">
        <v>97</v>
      </c>
      <c r="S90" s="38" t="s">
        <v>115</v>
      </c>
    </row>
    <row r="91" spans="2:21" x14ac:dyDescent="0.3">
      <c r="B91" s="41" t="s">
        <v>84</v>
      </c>
      <c r="P91" s="19"/>
      <c r="Q91" s="19"/>
    </row>
    <row r="92" spans="2:21" x14ac:dyDescent="0.3">
      <c r="B92" s="29" t="s">
        <v>131</v>
      </c>
      <c r="C92" s="30">
        <v>4.7E-7</v>
      </c>
      <c r="H92" s="19" t="s">
        <v>37</v>
      </c>
      <c r="J92" s="31">
        <f t="shared" ref="J92:N93" si="16">IF(ISBLANK(C92),"",IFERROR(ROUND(C92 / (
  1000 ^ INT(LOG(ABS(C92),1000)) ),3
),"-"))</f>
        <v>470</v>
      </c>
      <c r="K92" s="31" t="str">
        <f t="shared" si="16"/>
        <v/>
      </c>
      <c r="L92" s="31" t="str">
        <f t="shared" si="16"/>
        <v/>
      </c>
      <c r="M92" s="31" t="str">
        <f t="shared" si="16"/>
        <v/>
      </c>
      <c r="N92" s="31" t="str">
        <f t="shared" si="16"/>
        <v/>
      </c>
      <c r="O92" s="32" t="str">
        <f t="shared" ref="O92:O93" si="17">IF(ISBLANK($H92),"",IFERROR(CHOOSE(
  INT(LOG(ABS(C92),1000)) + 6,"f","p","n","µ","m","","k","M","G","T","P"
) &amp; $H92,"-"))</f>
        <v>nF</v>
      </c>
      <c r="P92" s="42" t="s">
        <v>151</v>
      </c>
      <c r="Q92" s="44" t="s">
        <v>151</v>
      </c>
      <c r="R92" s="19" t="s">
        <v>97</v>
      </c>
      <c r="S92" s="38" t="s">
        <v>129</v>
      </c>
    </row>
    <row r="93" spans="2:21" x14ac:dyDescent="0.3">
      <c r="B93" s="29" t="s">
        <v>132</v>
      </c>
      <c r="C93" s="30">
        <v>9.9999999999999995E-8</v>
      </c>
      <c r="H93" s="19" t="s">
        <v>37</v>
      </c>
      <c r="J93" s="31">
        <f t="shared" si="16"/>
        <v>100</v>
      </c>
      <c r="K93" s="31" t="str">
        <f t="shared" si="16"/>
        <v/>
      </c>
      <c r="L93" s="31" t="str">
        <f t="shared" si="16"/>
        <v/>
      </c>
      <c r="M93" s="31" t="str">
        <f t="shared" si="16"/>
        <v/>
      </c>
      <c r="N93" s="31" t="str">
        <f t="shared" si="16"/>
        <v/>
      </c>
      <c r="O93" s="32" t="str">
        <f t="shared" si="17"/>
        <v>nF</v>
      </c>
      <c r="P93" s="42" t="s">
        <v>151</v>
      </c>
      <c r="Q93" s="44" t="s">
        <v>151</v>
      </c>
      <c r="R93" s="19" t="s">
        <v>97</v>
      </c>
      <c r="S93" s="38" t="s">
        <v>133</v>
      </c>
      <c r="T93" s="19" t="s">
        <v>156</v>
      </c>
    </row>
    <row r="94" spans="2:21" x14ac:dyDescent="0.3">
      <c r="B94" s="41" t="s">
        <v>84</v>
      </c>
      <c r="P94" s="19"/>
      <c r="Q94" s="19"/>
    </row>
    <row r="95" spans="2:21" x14ac:dyDescent="0.3">
      <c r="B95" s="29" t="s">
        <v>134</v>
      </c>
      <c r="C95" s="30">
        <v>10</v>
      </c>
      <c r="H95" s="19" t="s">
        <v>11</v>
      </c>
      <c r="J95" s="31">
        <f t="shared" ref="J95:N97" si="18">IF(ISBLANK(C95),"",IFERROR(ROUND(C95 / (
  1000 ^ INT(LOG(ABS(C95),1000)) ),3
),"-"))</f>
        <v>10</v>
      </c>
      <c r="K95" s="31" t="str">
        <f t="shared" si="18"/>
        <v/>
      </c>
      <c r="L95" s="31" t="str">
        <f t="shared" si="18"/>
        <v/>
      </c>
      <c r="M95" s="31" t="str">
        <f t="shared" si="18"/>
        <v/>
      </c>
      <c r="N95" s="31" t="str">
        <f t="shared" si="18"/>
        <v/>
      </c>
      <c r="O95" s="32" t="str">
        <f t="shared" ref="O95:O97" si="19">IF(ISBLANK($H95),"",IFERROR(CHOOSE(
  INT(LOG(ABS(C95),1000)) + 6,"f","p","n","µ","m","","k","M","G","T","P"
) &amp; $H95,"-"))</f>
        <v>Ohms</v>
      </c>
      <c r="P95" s="42" t="s">
        <v>151</v>
      </c>
      <c r="Q95" s="44" t="s">
        <v>151</v>
      </c>
      <c r="R95" s="19" t="s">
        <v>99</v>
      </c>
      <c r="S95" s="38" t="s">
        <v>135</v>
      </c>
      <c r="U95" s="19" t="s">
        <v>136</v>
      </c>
    </row>
    <row r="96" spans="2:21" x14ac:dyDescent="0.3">
      <c r="B96" s="29" t="s">
        <v>138</v>
      </c>
      <c r="C96" s="30">
        <v>10</v>
      </c>
      <c r="H96" s="19" t="s">
        <v>11</v>
      </c>
      <c r="J96" s="31">
        <f t="shared" si="18"/>
        <v>10</v>
      </c>
      <c r="K96" s="31" t="str">
        <f t="shared" si="18"/>
        <v/>
      </c>
      <c r="L96" s="31" t="str">
        <f t="shared" si="18"/>
        <v/>
      </c>
      <c r="M96" s="31" t="str">
        <f t="shared" si="18"/>
        <v/>
      </c>
      <c r="N96" s="31" t="str">
        <f t="shared" si="18"/>
        <v/>
      </c>
      <c r="O96" s="32" t="str">
        <f>IF(ISBLANK($H96),"",IFERROR(CHOOSE(
  INT(LOG(ABS(C96),1000)) + 6,"f","p","n","µ","m","","k","M","G","T","P"
) &amp; $H96,"-"))</f>
        <v>Ohms</v>
      </c>
      <c r="P96" s="42" t="s">
        <v>151</v>
      </c>
      <c r="Q96" s="44" t="s">
        <v>151</v>
      </c>
      <c r="R96" s="19" t="s">
        <v>99</v>
      </c>
      <c r="S96" s="38" t="s">
        <v>135</v>
      </c>
      <c r="U96" s="19" t="s">
        <v>139</v>
      </c>
    </row>
    <row r="97" spans="2:19" x14ac:dyDescent="0.3">
      <c r="B97" s="29" t="s">
        <v>137</v>
      </c>
      <c r="C97" s="30">
        <v>1.2E-8</v>
      </c>
      <c r="H97" s="19" t="s">
        <v>37</v>
      </c>
      <c r="J97" s="31">
        <f t="shared" si="18"/>
        <v>12</v>
      </c>
      <c r="K97" s="31" t="str">
        <f t="shared" si="18"/>
        <v/>
      </c>
      <c r="L97" s="31" t="str">
        <f t="shared" si="18"/>
        <v/>
      </c>
      <c r="M97" s="31" t="str">
        <f t="shared" si="18"/>
        <v/>
      </c>
      <c r="N97" s="31" t="str">
        <f t="shared" si="18"/>
        <v/>
      </c>
      <c r="O97" s="32" t="str">
        <f t="shared" si="19"/>
        <v>nF</v>
      </c>
      <c r="P97" s="42" t="s">
        <v>151</v>
      </c>
      <c r="Q97" s="44" t="s">
        <v>151</v>
      </c>
      <c r="R97" s="19" t="s">
        <v>97</v>
      </c>
      <c r="S97" s="38" t="s">
        <v>115</v>
      </c>
    </row>
    <row r="98" spans="2:19" x14ac:dyDescent="0.3">
      <c r="B98" s="41" t="s">
        <v>84</v>
      </c>
      <c r="P98" s="19"/>
      <c r="Q98" s="19"/>
    </row>
    <row r="99" spans="2:19" x14ac:dyDescent="0.3">
      <c r="B99" s="29" t="s">
        <v>141</v>
      </c>
      <c r="C99" s="30"/>
      <c r="J99" s="31" t="str">
        <f t="shared" ref="J99:N102" si="20">IF(ISBLANK(C99),"",IFERROR(ROUND(C99 / (
  1000 ^ INT(LOG(ABS(C99),1000)) ),3
),"-"))</f>
        <v/>
      </c>
      <c r="K99" s="31" t="str">
        <f t="shared" si="20"/>
        <v/>
      </c>
      <c r="L99" s="31" t="str">
        <f t="shared" si="20"/>
        <v/>
      </c>
      <c r="M99" s="31" t="str">
        <f t="shared" si="20"/>
        <v/>
      </c>
      <c r="N99" s="31" t="str">
        <f t="shared" si="20"/>
        <v/>
      </c>
      <c r="O99" s="32" t="str">
        <f t="shared" ref="O99:O102" si="21">IF(ISBLANK($H99),"",IFERROR(CHOOSE(
  INT(LOG(ABS(C99),1000)) + 6,"f","p","n","µ","m","","k","M","G","T","P"
) &amp; $H99,"-"))</f>
        <v/>
      </c>
      <c r="P99" s="42" t="s">
        <v>151</v>
      </c>
      <c r="Q99" s="44" t="s">
        <v>151</v>
      </c>
      <c r="R99" s="19" t="s">
        <v>144</v>
      </c>
      <c r="S99" s="38" t="s">
        <v>145</v>
      </c>
    </row>
    <row r="100" spans="2:19" x14ac:dyDescent="0.3">
      <c r="B100" s="29" t="s">
        <v>140</v>
      </c>
      <c r="C100" s="30"/>
      <c r="J100" s="31" t="str">
        <f t="shared" si="20"/>
        <v/>
      </c>
      <c r="K100" s="31" t="str">
        <f t="shared" si="20"/>
        <v/>
      </c>
      <c r="L100" s="31" t="str">
        <f t="shared" si="20"/>
        <v/>
      </c>
      <c r="M100" s="31" t="str">
        <f t="shared" si="20"/>
        <v/>
      </c>
      <c r="N100" s="31" t="str">
        <f t="shared" si="20"/>
        <v/>
      </c>
      <c r="O100" s="32" t="str">
        <f t="shared" si="21"/>
        <v/>
      </c>
      <c r="P100" s="42" t="s">
        <v>151</v>
      </c>
      <c r="Q100" s="44" t="s">
        <v>151</v>
      </c>
      <c r="R100" s="19" t="s">
        <v>144</v>
      </c>
      <c r="S100" s="38" t="s">
        <v>145</v>
      </c>
    </row>
    <row r="101" spans="2:19" x14ac:dyDescent="0.3">
      <c r="B101" s="29" t="s">
        <v>142</v>
      </c>
      <c r="C101" s="30"/>
      <c r="J101" s="31" t="str">
        <f t="shared" si="20"/>
        <v/>
      </c>
      <c r="K101" s="31" t="str">
        <f t="shared" si="20"/>
        <v/>
      </c>
      <c r="L101" s="31" t="str">
        <f t="shared" si="20"/>
        <v/>
      </c>
      <c r="M101" s="31" t="str">
        <f t="shared" si="20"/>
        <v/>
      </c>
      <c r="N101" s="31" t="str">
        <f t="shared" si="20"/>
        <v/>
      </c>
      <c r="O101" s="32" t="str">
        <f t="shared" si="21"/>
        <v/>
      </c>
      <c r="P101" s="42" t="s">
        <v>151</v>
      </c>
      <c r="Q101" s="44" t="s">
        <v>151</v>
      </c>
      <c r="R101" s="19" t="s">
        <v>146</v>
      </c>
      <c r="S101" s="38" t="s">
        <v>147</v>
      </c>
    </row>
    <row r="102" spans="2:19" x14ac:dyDescent="0.3">
      <c r="B102" s="29" t="s">
        <v>143</v>
      </c>
      <c r="C102" s="30"/>
      <c r="J102" s="31" t="str">
        <f t="shared" si="20"/>
        <v/>
      </c>
      <c r="K102" s="31" t="str">
        <f t="shared" si="20"/>
        <v/>
      </c>
      <c r="L102" s="31" t="str">
        <f t="shared" si="20"/>
        <v/>
      </c>
      <c r="M102" s="31" t="str">
        <f t="shared" si="20"/>
        <v/>
      </c>
      <c r="N102" s="31" t="str">
        <f t="shared" si="20"/>
        <v/>
      </c>
      <c r="O102" s="32" t="str">
        <f t="shared" si="21"/>
        <v/>
      </c>
      <c r="P102" s="42" t="s">
        <v>151</v>
      </c>
      <c r="Q102" s="44" t="s">
        <v>151</v>
      </c>
      <c r="R102" s="19" t="s">
        <v>146</v>
      </c>
      <c r="S102" s="38" t="s">
        <v>147</v>
      </c>
    </row>
    <row r="103" spans="2:19" x14ac:dyDescent="0.3">
      <c r="B103" s="41" t="s">
        <v>84</v>
      </c>
      <c r="P103" s="19"/>
      <c r="Q103" s="19"/>
    </row>
    <row r="104" spans="2:19" x14ac:dyDescent="0.3">
      <c r="B104" s="29" t="s">
        <v>148</v>
      </c>
      <c r="C104" s="30"/>
      <c r="J104" s="31" t="str">
        <f t="shared" ref="J104:N104" si="22">IF(ISBLANK(C104),"",IFERROR(ROUND(C104 / (
  1000 ^ INT(LOG(ABS(C104),1000)) ),3
),"-"))</f>
        <v/>
      </c>
      <c r="K104" s="31" t="str">
        <f t="shared" si="22"/>
        <v/>
      </c>
      <c r="L104" s="31" t="str">
        <f t="shared" si="22"/>
        <v/>
      </c>
      <c r="M104" s="31" t="str">
        <f t="shared" si="22"/>
        <v/>
      </c>
      <c r="N104" s="31" t="str">
        <f t="shared" si="22"/>
        <v/>
      </c>
      <c r="O104" s="32" t="str">
        <f t="shared" ref="O104" si="23">IF(ISBLANK($H104),"",IFERROR(CHOOSE(
  INT(LOG(ABS(C104),1000)) + 6,"f","p","n","µ","m","","k","M","G","T","P"
) &amp; $H104,"-"))</f>
        <v/>
      </c>
      <c r="P104" s="42" t="s">
        <v>151</v>
      </c>
      <c r="Q104" s="44" t="s">
        <v>151</v>
      </c>
      <c r="R104" s="19" t="s">
        <v>146</v>
      </c>
      <c r="S104" s="38" t="s">
        <v>149</v>
      </c>
    </row>
  </sheetData>
  <autoFilter ref="B2:U104" xr:uid="{2D90997A-12E2-4F6A-8EA8-4C3231C7DB40}"/>
  <mergeCells count="1">
    <mergeCell ref="J1:N1"/>
  </mergeCells>
  <hyperlinks>
    <hyperlink ref="S30" r:id="rId1" xr:uid="{9CC7ABCA-6A5F-484E-84C9-37D42ED0203B}"/>
    <hyperlink ref="S21" r:id="rId2" xr:uid="{AA6601D3-2578-481A-8E03-3B8E6A6A19E8}"/>
    <hyperlink ref="S35" r:id="rId3" xr:uid="{E9329141-3F1B-47E7-8F13-C2922EE8CD6D}"/>
    <hyperlink ref="S37" r:id="rId4" xr:uid="{2AD42D83-8871-475C-ABAC-E9E0D3A1FC89}"/>
    <hyperlink ref="S42" r:id="rId5" xr:uid="{A09DCFAB-0B2F-425C-A4A1-8EE0CAD33B8F}"/>
    <hyperlink ref="S44" r:id="rId6" xr:uid="{2A4E91A7-73C1-48B1-A1E7-7D14E0BF1605}"/>
    <hyperlink ref="S49" r:id="rId7" xr:uid="{AF95DC1A-FAA3-4795-BE14-9DF8D067C6AD}"/>
    <hyperlink ref="S61" r:id="rId8" xr:uid="{3D315BCC-1D87-4C66-8DF5-1597927067C8}"/>
    <hyperlink ref="S73" r:id="rId9" xr:uid="{96C763EA-B084-42F0-8548-0FE125500A02}"/>
    <hyperlink ref="S80" r:id="rId10" xr:uid="{2AE98E4A-9536-465F-8E48-B967336A5966}"/>
    <hyperlink ref="S77" r:id="rId11" xr:uid="{6147DD52-EF2A-4D14-B624-B8864AC3E99B}"/>
    <hyperlink ref="S8" r:id="rId12" xr:uid="{85F80785-94ED-4F97-87CF-3640B494201B}"/>
    <hyperlink ref="S10" r:id="rId13" xr:uid="{7454E8D2-17BE-4263-930D-C68E01F99906}"/>
    <hyperlink ref="S88" r:id="rId14" xr:uid="{06D858F5-2FC4-4B0F-A4DD-24A632A553F5}"/>
    <hyperlink ref="S89" r:id="rId15" xr:uid="{C7FF4FCE-7BC1-4516-891E-78727DC63E6B}"/>
    <hyperlink ref="S92" r:id="rId16" xr:uid="{A21041FF-5867-469D-BC1D-64BD47EF0FAB}"/>
    <hyperlink ref="S93" r:id="rId17" xr:uid="{5E99A59E-4492-4D39-8C90-710E36EBEE7B}"/>
    <hyperlink ref="S90" r:id="rId18" xr:uid="{5030D1A6-52B1-4005-A935-DA8111F8E943}"/>
    <hyperlink ref="S95" r:id="rId19" xr:uid="{9AF3859A-9DE0-408A-9890-2426E4418AD6}"/>
    <hyperlink ref="S97" r:id="rId20" xr:uid="{7A1C03D0-6484-4AF2-A70C-CA4673BD4B69}"/>
    <hyperlink ref="S96" r:id="rId21" xr:uid="{C708290E-B5E5-492E-9F33-42B7B6C9AF85}"/>
    <hyperlink ref="S99" r:id="rId22" xr:uid="{0D55C19D-5472-48DA-9DC0-8DEBA73C5AB7}"/>
    <hyperlink ref="S101" r:id="rId23" xr:uid="{F96F044C-6485-4269-98D1-743431E25E86}"/>
    <hyperlink ref="S100" r:id="rId24" xr:uid="{7D5E3146-92D0-452E-BAA7-04E1772177CC}"/>
    <hyperlink ref="S102" r:id="rId25" xr:uid="{41F90483-4C45-495C-94AD-B0634EDE08D7}"/>
    <hyperlink ref="S104" r:id="rId26" xr:uid="{2EDC59CC-441F-4B62-A79C-12F4F61476A1}"/>
  </hyperlinks>
  <pageMargins left="0.7" right="0.7" top="0.75" bottom="0.75" header="0.3" footer="0.3"/>
  <pageSetup paperSize="119" orientation="landscape" r:id="rId2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C1999-AECE-47B3-AA91-1348ACE2BDC0}">
  <dimension ref="B1:S85"/>
  <sheetViews>
    <sheetView zoomScaleNormal="100" workbookViewId="0"/>
  </sheetViews>
  <sheetFormatPr defaultColWidth="8.88671875" defaultRowHeight="14.4" x14ac:dyDescent="0.3"/>
  <cols>
    <col min="1" max="1" width="8.88671875" style="19"/>
    <col min="2" max="2" width="20.6640625" style="19" bestFit="1" customWidth="1"/>
    <col min="3" max="15" width="12.77734375" style="19" customWidth="1"/>
    <col min="16" max="16" width="20.6640625" style="19" bestFit="1" customWidth="1"/>
    <col min="17" max="17" width="22" style="19" bestFit="1" customWidth="1"/>
    <col min="18" max="16384" width="8.88671875" style="19"/>
  </cols>
  <sheetData>
    <row r="1" spans="2:19" x14ac:dyDescent="0.3">
      <c r="J1" s="46" t="s">
        <v>8</v>
      </c>
      <c r="K1" s="46"/>
      <c r="L1" s="46"/>
      <c r="M1" s="46"/>
      <c r="N1" s="46"/>
    </row>
    <row r="2" spans="2:19" x14ac:dyDescent="0.3">
      <c r="C2" s="20" t="s">
        <v>22</v>
      </c>
      <c r="D2" s="20" t="s">
        <v>23</v>
      </c>
      <c r="E2" s="20" t="s">
        <v>82</v>
      </c>
      <c r="F2" s="20" t="s">
        <v>83</v>
      </c>
      <c r="G2" s="20" t="s">
        <v>24</v>
      </c>
      <c r="H2" s="20" t="s">
        <v>9</v>
      </c>
      <c r="J2" s="21" t="s">
        <v>22</v>
      </c>
      <c r="K2" s="21" t="s">
        <v>23</v>
      </c>
      <c r="L2" s="21" t="s">
        <v>82</v>
      </c>
      <c r="M2" s="21" t="s">
        <v>83</v>
      </c>
      <c r="N2" s="21" t="s">
        <v>24</v>
      </c>
      <c r="O2" s="22" t="s">
        <v>9</v>
      </c>
      <c r="P2" s="23" t="s">
        <v>87</v>
      </c>
      <c r="Q2" s="23" t="s">
        <v>88</v>
      </c>
      <c r="S2" s="23" t="s">
        <v>15</v>
      </c>
    </row>
    <row r="3" spans="2:19" x14ac:dyDescent="0.3">
      <c r="B3" s="24" t="s">
        <v>21</v>
      </c>
      <c r="C3" s="28">
        <f>MAX(D3:G3)</f>
        <v>52</v>
      </c>
      <c r="D3" s="25">
        <v>20</v>
      </c>
      <c r="E3" s="25">
        <v>24</v>
      </c>
      <c r="F3" s="25">
        <v>36</v>
      </c>
      <c r="G3" s="25">
        <v>52</v>
      </c>
      <c r="H3" s="19" t="s">
        <v>0</v>
      </c>
      <c r="J3" s="26">
        <f>IF(ISBLANK(C3),"",IFERROR(ROUND(C3 / (
  1000 ^ INT(LOG(ABS(C3),1000)) ),3
),"-"))</f>
        <v>52</v>
      </c>
      <c r="K3" s="26">
        <f>IF(ISBLANK(D3),"",IFERROR(ROUND(D3 / (
  1000 ^ INT(LOG(ABS(D3),1000)) ),3
),"-"))</f>
        <v>20</v>
      </c>
      <c r="L3" s="26">
        <f>IF(ISBLANK(E3),"",IFERROR(ROUND(E3 / (
  1000 ^ INT(LOG(ABS(E3),1000)) ),3
),"-"))</f>
        <v>24</v>
      </c>
      <c r="M3" s="26">
        <f>IF(ISBLANK(F3),"",IFERROR(ROUND(F3 / (
  1000 ^ INT(LOG(ABS(F3),1000)) ),3
),"-"))</f>
        <v>36</v>
      </c>
      <c r="N3" s="26">
        <f>IF(ISBLANK(G3),"",IFERROR(ROUND(G3 / (
  1000 ^ INT(LOG(ABS(G3),1000)) ),3
),"-"))</f>
        <v>52</v>
      </c>
      <c r="O3" s="27" t="str">
        <f>IF(ISBLANK($H3),"",IFERROR(CHOOSE(
  INT(LOG(ABS(C5),1000)) + 6,"f","p","n","µ","m","","k","M","G","T","P"
) &amp; $H3,"-"))</f>
        <v>V</v>
      </c>
    </row>
    <row r="4" spans="2:19" x14ac:dyDescent="0.3">
      <c r="B4" s="24" t="s">
        <v>20</v>
      </c>
      <c r="C4" s="28">
        <f>MIN(D3:G3)</f>
        <v>20</v>
      </c>
      <c r="H4" s="19" t="s">
        <v>0</v>
      </c>
      <c r="J4" s="26">
        <f>IF(ISBLANK(C4),"",IFERROR(ROUND(C4 / (
  1000 ^ INT(LOG(ABS(C4),1000)) ),3
),"-"))</f>
        <v>20</v>
      </c>
      <c r="K4" s="26" t="str">
        <f t="shared" ref="K4:N19" si="0">IF(ISBLANK(D4),"",IFERROR(ROUND(D4 / (
  1000 ^ INT(LOG(ABS(D4),1000)) ),3
),"-"))</f>
        <v/>
      </c>
      <c r="L4" s="26" t="str">
        <f t="shared" si="0"/>
        <v/>
      </c>
      <c r="M4" s="26" t="str">
        <f t="shared" si="0"/>
        <v/>
      </c>
      <c r="N4" s="26" t="str">
        <f t="shared" si="0"/>
        <v/>
      </c>
      <c r="O4" s="27" t="str">
        <f>IF(ISBLANK($H4),"",IFERROR(CHOOSE(
  INT(LOG(ABS(C4),1000)) + 6,"f","p","n","µ","m","","k","M","G","T","P"
) &amp; $H4,"-"))</f>
        <v>V</v>
      </c>
    </row>
    <row r="5" spans="2:19" x14ac:dyDescent="0.3">
      <c r="B5" s="24" t="s">
        <v>10</v>
      </c>
      <c r="C5" s="25">
        <v>5</v>
      </c>
      <c r="H5" s="19" t="s">
        <v>1</v>
      </c>
      <c r="J5" s="26">
        <f t="shared" ref="J5:N20" si="1">IF(ISBLANK(C5),"",IFERROR(ROUND(C5 / (
  1000 ^ INT(LOG(ABS(C5),1000)) ),3
),"-"))</f>
        <v>5</v>
      </c>
      <c r="K5" s="26" t="str">
        <f t="shared" si="0"/>
        <v/>
      </c>
      <c r="L5" s="26" t="str">
        <f t="shared" si="0"/>
        <v/>
      </c>
      <c r="M5" s="26" t="str">
        <f t="shared" si="0"/>
        <v/>
      </c>
      <c r="N5" s="26" t="str">
        <f t="shared" si="0"/>
        <v/>
      </c>
      <c r="O5" s="27" t="str">
        <f t="shared" ref="O5:O81" si="2">IF(ISBLANK($H5),"",IFERROR(CHOOSE(
  INT(LOG(ABS(C5),1000)) + 6,"f","p","n","µ","m","","k","M","G","T","P"
) &amp; $H5,"-"))</f>
        <v>A</v>
      </c>
    </row>
    <row r="6" spans="2:19" x14ac:dyDescent="0.3">
      <c r="J6" s="26" t="str">
        <f t="shared" si="1"/>
        <v/>
      </c>
      <c r="K6" s="26" t="str">
        <f t="shared" si="0"/>
        <v/>
      </c>
      <c r="L6" s="26" t="str">
        <f t="shared" si="0"/>
        <v/>
      </c>
      <c r="M6" s="26" t="str">
        <f t="shared" si="0"/>
        <v/>
      </c>
      <c r="N6" s="26" t="str">
        <f t="shared" si="0"/>
        <v/>
      </c>
      <c r="O6" s="27" t="str">
        <f t="shared" si="2"/>
        <v/>
      </c>
    </row>
    <row r="7" spans="2:19" x14ac:dyDescent="0.3">
      <c r="B7" s="24" t="s">
        <v>60</v>
      </c>
      <c r="C7" s="25">
        <v>12</v>
      </c>
      <c r="H7" s="19" t="s">
        <v>0</v>
      </c>
      <c r="J7" s="26">
        <f t="shared" si="1"/>
        <v>12</v>
      </c>
      <c r="K7" s="26" t="str">
        <f t="shared" si="0"/>
        <v/>
      </c>
      <c r="L7" s="26" t="str">
        <f t="shared" si="0"/>
        <v/>
      </c>
      <c r="M7" s="26" t="str">
        <f t="shared" si="0"/>
        <v/>
      </c>
      <c r="N7" s="26" t="str">
        <f t="shared" si="0"/>
        <v/>
      </c>
      <c r="O7" s="27" t="str">
        <f t="shared" si="2"/>
        <v>V</v>
      </c>
    </row>
    <row r="8" spans="2:19" x14ac:dyDescent="0.3">
      <c r="B8" s="29" t="s">
        <v>61</v>
      </c>
      <c r="C8" s="30">
        <v>4990</v>
      </c>
      <c r="H8" s="19" t="s">
        <v>11</v>
      </c>
      <c r="J8" s="31">
        <f t="shared" si="1"/>
        <v>4.99</v>
      </c>
      <c r="K8" s="31" t="str">
        <f t="shared" si="0"/>
        <v/>
      </c>
      <c r="L8" s="31" t="str">
        <f t="shared" si="0"/>
        <v/>
      </c>
      <c r="M8" s="31" t="str">
        <f t="shared" si="0"/>
        <v/>
      </c>
      <c r="N8" s="31" t="str">
        <f t="shared" si="0"/>
        <v/>
      </c>
      <c r="O8" s="32" t="str">
        <f t="shared" si="2"/>
        <v>kOhms</v>
      </c>
    </row>
    <row r="9" spans="2:19" x14ac:dyDescent="0.3">
      <c r="B9" s="29" t="s">
        <v>62</v>
      </c>
      <c r="C9" s="33">
        <f>$C$8/($C$7/0.8-1)</f>
        <v>356.42857142857144</v>
      </c>
      <c r="H9" s="19" t="s">
        <v>11</v>
      </c>
      <c r="J9" s="26">
        <f t="shared" si="1"/>
        <v>356.42899999999997</v>
      </c>
      <c r="K9" s="26" t="str">
        <f t="shared" si="0"/>
        <v/>
      </c>
      <c r="L9" s="26" t="str">
        <f t="shared" si="0"/>
        <v/>
      </c>
      <c r="M9" s="26" t="str">
        <f t="shared" si="0"/>
        <v/>
      </c>
      <c r="N9" s="26" t="str">
        <f t="shared" si="0"/>
        <v/>
      </c>
      <c r="O9" s="27" t="str">
        <f t="shared" si="2"/>
        <v>Ohms</v>
      </c>
    </row>
    <row r="10" spans="2:19" ht="15" thickBot="1" x14ac:dyDescent="0.35">
      <c r="B10" s="29" t="s">
        <v>63</v>
      </c>
      <c r="C10" s="25">
        <v>357</v>
      </c>
      <c r="H10" s="19" t="s">
        <v>11</v>
      </c>
      <c r="J10" s="31">
        <f t="shared" si="1"/>
        <v>357</v>
      </c>
      <c r="K10" s="31" t="str">
        <f t="shared" si="0"/>
        <v/>
      </c>
      <c r="L10" s="31" t="str">
        <f t="shared" si="0"/>
        <v/>
      </c>
      <c r="M10" s="31" t="str">
        <f t="shared" si="0"/>
        <v/>
      </c>
      <c r="N10" s="31" t="str">
        <f t="shared" si="0"/>
        <v/>
      </c>
      <c r="O10" s="32" t="str">
        <f t="shared" si="2"/>
        <v>Ohms</v>
      </c>
    </row>
    <row r="11" spans="2:19" ht="15.6" thickTop="1" thickBot="1" x14ac:dyDescent="0.35">
      <c r="B11" s="29" t="s">
        <v>64</v>
      </c>
      <c r="C11" s="34">
        <f>0.8*($C$8/$C$10+1)</f>
        <v>11.982072829131653</v>
      </c>
      <c r="H11" s="19" t="s">
        <v>0</v>
      </c>
      <c r="J11" s="26">
        <f t="shared" si="1"/>
        <v>11.981999999999999</v>
      </c>
      <c r="K11" s="26" t="str">
        <f t="shared" si="0"/>
        <v/>
      </c>
      <c r="L11" s="26" t="str">
        <f t="shared" si="0"/>
        <v/>
      </c>
      <c r="M11" s="26" t="str">
        <f t="shared" si="0"/>
        <v/>
      </c>
      <c r="N11" s="26" t="str">
        <f t="shared" si="0"/>
        <v/>
      </c>
      <c r="O11" s="27" t="str">
        <f t="shared" si="2"/>
        <v>V</v>
      </c>
    </row>
    <row r="12" spans="2:19" ht="15" thickTop="1" x14ac:dyDescent="0.3">
      <c r="J12" s="19" t="str">
        <f t="shared" si="1"/>
        <v/>
      </c>
      <c r="K12" s="19" t="str">
        <f t="shared" si="0"/>
        <v/>
      </c>
      <c r="L12" s="19" t="str">
        <f t="shared" si="0"/>
        <v/>
      </c>
      <c r="M12" s="19" t="str">
        <f t="shared" si="0"/>
        <v/>
      </c>
      <c r="N12" s="19" t="str">
        <f t="shared" si="0"/>
        <v/>
      </c>
      <c r="O12" s="19" t="str">
        <f t="shared" si="2"/>
        <v/>
      </c>
    </row>
    <row r="13" spans="2:19" x14ac:dyDescent="0.3">
      <c r="B13" s="24" t="s">
        <v>2</v>
      </c>
      <c r="C13" s="30">
        <v>450000</v>
      </c>
      <c r="H13" s="19" t="s">
        <v>3</v>
      </c>
      <c r="J13" s="26">
        <f t="shared" si="1"/>
        <v>450</v>
      </c>
      <c r="K13" s="26" t="str">
        <f t="shared" si="0"/>
        <v/>
      </c>
      <c r="L13" s="26" t="str">
        <f t="shared" si="0"/>
        <v/>
      </c>
      <c r="M13" s="26" t="str">
        <f t="shared" si="0"/>
        <v/>
      </c>
      <c r="N13" s="26" t="str">
        <f t="shared" si="0"/>
        <v/>
      </c>
      <c r="O13" s="27" t="str">
        <f t="shared" si="2"/>
        <v>kHz</v>
      </c>
      <c r="S13" s="19" t="s">
        <v>85</v>
      </c>
    </row>
    <row r="14" spans="2:19" x14ac:dyDescent="0.3">
      <c r="B14" s="24" t="s">
        <v>4</v>
      </c>
      <c r="C14" s="33">
        <f>5200000000/C13 - 948</f>
        <v>10607.555555555555</v>
      </c>
      <c r="H14" s="19" t="s">
        <v>11</v>
      </c>
      <c r="J14" s="26">
        <f t="shared" si="1"/>
        <v>10.608000000000001</v>
      </c>
      <c r="K14" s="26" t="str">
        <f t="shared" si="0"/>
        <v/>
      </c>
      <c r="L14" s="26" t="str">
        <f t="shared" si="0"/>
        <v/>
      </c>
      <c r="M14" s="26" t="str">
        <f t="shared" si="0"/>
        <v/>
      </c>
      <c r="N14" s="26" t="str">
        <f t="shared" si="0"/>
        <v/>
      </c>
      <c r="O14" s="27" t="str">
        <f t="shared" si="2"/>
        <v>kOhms</v>
      </c>
    </row>
    <row r="15" spans="2:19" ht="15" thickBot="1" x14ac:dyDescent="0.35">
      <c r="B15" s="24" t="s">
        <v>6</v>
      </c>
      <c r="C15" s="30">
        <v>10500</v>
      </c>
      <c r="H15" s="19" t="s">
        <v>11</v>
      </c>
      <c r="J15" s="31">
        <f t="shared" si="1"/>
        <v>10.5</v>
      </c>
      <c r="K15" s="31" t="str">
        <f t="shared" si="0"/>
        <v/>
      </c>
      <c r="L15" s="31" t="str">
        <f t="shared" si="0"/>
        <v/>
      </c>
      <c r="M15" s="31" t="str">
        <f t="shared" si="0"/>
        <v/>
      </c>
      <c r="N15" s="31" t="str">
        <f t="shared" si="0"/>
        <v/>
      </c>
      <c r="O15" s="32" t="str">
        <f t="shared" si="2"/>
        <v>kOhms</v>
      </c>
    </row>
    <row r="16" spans="2:19" ht="15.6" thickTop="1" thickBot="1" x14ac:dyDescent="0.35">
      <c r="B16" s="24" t="s">
        <v>7</v>
      </c>
      <c r="C16" s="34">
        <f>5200000000/(C15+948)</f>
        <v>454227.81271837873</v>
      </c>
      <c r="H16" s="19" t="s">
        <v>3</v>
      </c>
      <c r="J16" s="26">
        <f t="shared" si="1"/>
        <v>454.22800000000001</v>
      </c>
      <c r="K16" s="26" t="str">
        <f t="shared" si="0"/>
        <v/>
      </c>
      <c r="L16" s="26" t="str">
        <f t="shared" si="0"/>
        <v/>
      </c>
      <c r="M16" s="26" t="str">
        <f t="shared" si="0"/>
        <v/>
      </c>
      <c r="N16" s="26" t="str">
        <f t="shared" si="0"/>
        <v/>
      </c>
      <c r="O16" s="27" t="str">
        <f t="shared" si="2"/>
        <v>kHz</v>
      </c>
    </row>
    <row r="17" spans="2:19" ht="15" thickTop="1" x14ac:dyDescent="0.3">
      <c r="J17" s="19" t="str">
        <f t="shared" si="1"/>
        <v/>
      </c>
      <c r="K17" s="19" t="str">
        <f t="shared" si="0"/>
        <v/>
      </c>
      <c r="L17" s="19" t="str">
        <f t="shared" si="0"/>
        <v/>
      </c>
      <c r="M17" s="19" t="str">
        <f t="shared" si="0"/>
        <v/>
      </c>
      <c r="N17" s="19" t="str">
        <f t="shared" si="0"/>
        <v/>
      </c>
      <c r="O17" s="19" t="str">
        <f t="shared" si="2"/>
        <v/>
      </c>
    </row>
    <row r="18" spans="2:19" x14ac:dyDescent="0.3">
      <c r="B18" s="24" t="s">
        <v>19</v>
      </c>
      <c r="C18" s="35">
        <v>0.4</v>
      </c>
      <c r="H18" s="19" t="s">
        <v>84</v>
      </c>
      <c r="J18" s="26">
        <f t="shared" si="1"/>
        <v>400</v>
      </c>
      <c r="K18" s="26" t="str">
        <f t="shared" si="0"/>
        <v/>
      </c>
      <c r="L18" s="26" t="str">
        <f t="shared" si="0"/>
        <v/>
      </c>
      <c r="M18" s="26" t="str">
        <f t="shared" si="0"/>
        <v/>
      </c>
      <c r="N18" s="26" t="str">
        <f t="shared" si="0"/>
        <v/>
      </c>
      <c r="O18" s="27" t="str">
        <f t="shared" si="2"/>
        <v>m-</v>
      </c>
    </row>
    <row r="19" spans="2:19" x14ac:dyDescent="0.3">
      <c r="B19" s="24" t="s">
        <v>12</v>
      </c>
      <c r="C19" s="28">
        <f>$C$5*$C$18</f>
        <v>2</v>
      </c>
      <c r="H19" s="19" t="s">
        <v>1</v>
      </c>
      <c r="J19" s="26">
        <f t="shared" si="1"/>
        <v>2</v>
      </c>
      <c r="K19" s="26" t="str">
        <f t="shared" si="0"/>
        <v/>
      </c>
      <c r="L19" s="26" t="str">
        <f t="shared" si="0"/>
        <v/>
      </c>
      <c r="M19" s="26" t="str">
        <f t="shared" si="0"/>
        <v/>
      </c>
      <c r="N19" s="26" t="str">
        <f t="shared" si="0"/>
        <v/>
      </c>
      <c r="O19" s="27" t="str">
        <f t="shared" si="2"/>
        <v>A</v>
      </c>
    </row>
    <row r="20" spans="2:19" x14ac:dyDescent="0.3">
      <c r="B20" s="24" t="s">
        <v>13</v>
      </c>
      <c r="C20" s="33">
        <f>($C$7/($C$5*$C$18*$C$16))*(1-$C$7/$C$3)</f>
        <v>1.0160946745562129E-5</v>
      </c>
      <c r="H20" s="19" t="s">
        <v>14</v>
      </c>
      <c r="J20" s="26">
        <f t="shared" si="1"/>
        <v>10.161</v>
      </c>
      <c r="K20" s="26" t="str">
        <f t="shared" si="1"/>
        <v/>
      </c>
      <c r="L20" s="26" t="str">
        <f t="shared" si="1"/>
        <v/>
      </c>
      <c r="M20" s="26" t="str">
        <f t="shared" si="1"/>
        <v/>
      </c>
      <c r="N20" s="26" t="str">
        <f t="shared" si="1"/>
        <v/>
      </c>
      <c r="O20" s="27" t="str">
        <f t="shared" si="2"/>
        <v>µH</v>
      </c>
      <c r="S20" s="19" t="s">
        <v>16</v>
      </c>
    </row>
    <row r="21" spans="2:19" x14ac:dyDescent="0.3">
      <c r="B21" s="24" t="s">
        <v>17</v>
      </c>
      <c r="C21" s="30">
        <v>1.0000000000000001E-5</v>
      </c>
      <c r="H21" s="19" t="s">
        <v>14</v>
      </c>
      <c r="J21" s="31">
        <f t="shared" ref="J21:N71" si="3">IF(ISBLANK(C21),"",IFERROR(ROUND(C21 / (
  1000 ^ INT(LOG(ABS(C21),1000)) ),3
),"-"))</f>
        <v>10</v>
      </c>
      <c r="K21" s="31" t="str">
        <f t="shared" si="3"/>
        <v/>
      </c>
      <c r="L21" s="31" t="str">
        <f t="shared" si="3"/>
        <v/>
      </c>
      <c r="M21" s="31" t="str">
        <f t="shared" si="3"/>
        <v/>
      </c>
      <c r="N21" s="31" t="str">
        <f t="shared" si="3"/>
        <v/>
      </c>
      <c r="O21" s="32" t="str">
        <f t="shared" si="2"/>
        <v>µH</v>
      </c>
      <c r="P21" s="19" t="s">
        <v>95</v>
      </c>
      <c r="Q21" s="38" t="s">
        <v>96</v>
      </c>
    </row>
    <row r="22" spans="2:19" x14ac:dyDescent="0.3">
      <c r="B22" s="24" t="s">
        <v>93</v>
      </c>
      <c r="C22" s="30">
        <v>14.6</v>
      </c>
      <c r="H22" s="19" t="s">
        <v>1</v>
      </c>
      <c r="J22" s="31">
        <f t="shared" si="3"/>
        <v>14.6</v>
      </c>
      <c r="K22" s="31" t="str">
        <f t="shared" si="3"/>
        <v/>
      </c>
      <c r="L22" s="31" t="str">
        <f t="shared" si="3"/>
        <v/>
      </c>
      <c r="M22" s="31" t="str">
        <f t="shared" si="3"/>
        <v/>
      </c>
      <c r="N22" s="31" t="str">
        <f t="shared" si="3"/>
        <v/>
      </c>
      <c r="O22" s="32" t="str">
        <f t="shared" si="2"/>
        <v>A</v>
      </c>
    </row>
    <row r="23" spans="2:19" ht="15" thickBot="1" x14ac:dyDescent="0.35">
      <c r="B23" s="24" t="s">
        <v>94</v>
      </c>
      <c r="C23" s="30">
        <v>7.1999999999999998E-3</v>
      </c>
      <c r="H23" s="19" t="s">
        <v>11</v>
      </c>
      <c r="J23" s="31">
        <f t="shared" si="3"/>
        <v>7.2</v>
      </c>
      <c r="K23" s="31" t="str">
        <f t="shared" si="3"/>
        <v/>
      </c>
      <c r="L23" s="31" t="str">
        <f t="shared" si="3"/>
        <v/>
      </c>
      <c r="M23" s="31" t="str">
        <f t="shared" si="3"/>
        <v/>
      </c>
      <c r="N23" s="31" t="str">
        <f t="shared" si="3"/>
        <v/>
      </c>
      <c r="O23" s="32" t="str">
        <f t="shared" si="2"/>
        <v>mOhms</v>
      </c>
    </row>
    <row r="24" spans="2:19" ht="15.6" thickTop="1" thickBot="1" x14ac:dyDescent="0.35">
      <c r="B24" s="24" t="s">
        <v>18</v>
      </c>
      <c r="C24" s="34">
        <f>($C$7/($C$21*$C$13))*(1-$C$7/$C$3)</f>
        <v>2.0512820512820511</v>
      </c>
      <c r="D24" s="34">
        <f>($C$7/($C$21*$C$13))*(1-$C$7/D3)</f>
        <v>1.0666666666666667</v>
      </c>
      <c r="E24" s="34">
        <f>($C$7/($C$21*$C$13))*(1-$C$7/E3)</f>
        <v>1.3333333333333333</v>
      </c>
      <c r="F24" s="34">
        <f>($C$7/($C$21*$C$13))*(1-$C$7/F3)</f>
        <v>1.7777777777777779</v>
      </c>
      <c r="G24" s="34">
        <f>($C$7/($C$21*$C$13))*(1-$C$7/G3)</f>
        <v>2.0512820512820511</v>
      </c>
      <c r="H24" s="19" t="s">
        <v>1</v>
      </c>
      <c r="J24" s="26">
        <f t="shared" si="3"/>
        <v>2.0510000000000002</v>
      </c>
      <c r="K24" s="26">
        <f t="shared" si="3"/>
        <v>1.0669999999999999</v>
      </c>
      <c r="L24" s="26">
        <f t="shared" si="3"/>
        <v>1.333</v>
      </c>
      <c r="M24" s="26">
        <f t="shared" si="3"/>
        <v>1.778</v>
      </c>
      <c r="N24" s="26">
        <f t="shared" si="3"/>
        <v>2.0510000000000002</v>
      </c>
      <c r="O24" s="27" t="str">
        <f t="shared" si="2"/>
        <v>A</v>
      </c>
    </row>
    <row r="25" spans="2:19" ht="15.6" thickTop="1" thickBot="1" x14ac:dyDescent="0.35">
      <c r="B25" s="24" t="s">
        <v>86</v>
      </c>
      <c r="C25" s="34">
        <f>$C$5+C24/2</f>
        <v>6.0256410256410255</v>
      </c>
      <c r="D25" s="34">
        <f t="shared" ref="D25:G25" si="4">$C$5+D24/2</f>
        <v>5.5333333333333332</v>
      </c>
      <c r="E25" s="34">
        <f t="shared" si="4"/>
        <v>5.666666666666667</v>
      </c>
      <c r="F25" s="34">
        <f t="shared" si="4"/>
        <v>5.8888888888888893</v>
      </c>
      <c r="G25" s="34">
        <f t="shared" si="4"/>
        <v>6.0256410256410255</v>
      </c>
      <c r="H25" s="19" t="s">
        <v>1</v>
      </c>
      <c r="J25" s="26">
        <f t="shared" si="3"/>
        <v>6.0259999999999998</v>
      </c>
      <c r="K25" s="26">
        <f t="shared" si="3"/>
        <v>5.5330000000000004</v>
      </c>
      <c r="L25" s="26">
        <f t="shared" si="3"/>
        <v>5.6669999999999998</v>
      </c>
      <c r="M25" s="26">
        <f t="shared" si="3"/>
        <v>5.8890000000000002</v>
      </c>
      <c r="N25" s="26">
        <f t="shared" si="3"/>
        <v>6.0259999999999998</v>
      </c>
      <c r="O25" s="27" t="str">
        <f t="shared" si="2"/>
        <v>A</v>
      </c>
    </row>
    <row r="26" spans="2:19" ht="15" thickTop="1" x14ac:dyDescent="0.3">
      <c r="J26" s="19" t="str">
        <f t="shared" si="3"/>
        <v/>
      </c>
      <c r="K26" s="19" t="str">
        <f t="shared" si="3"/>
        <v/>
      </c>
      <c r="L26" s="19" t="str">
        <f t="shared" si="3"/>
        <v/>
      </c>
      <c r="M26" s="19" t="str">
        <f t="shared" si="3"/>
        <v/>
      </c>
      <c r="N26" s="19" t="str">
        <f t="shared" si="3"/>
        <v/>
      </c>
      <c r="O26" s="19" t="str">
        <f t="shared" si="2"/>
        <v/>
      </c>
    </row>
    <row r="27" spans="2:19" x14ac:dyDescent="0.3">
      <c r="B27" s="29" t="s">
        <v>26</v>
      </c>
      <c r="C27" s="35">
        <v>1.3</v>
      </c>
      <c r="J27" s="26">
        <f t="shared" si="3"/>
        <v>1.3</v>
      </c>
      <c r="K27" s="26" t="str">
        <f t="shared" si="3"/>
        <v/>
      </c>
      <c r="L27" s="26" t="str">
        <f t="shared" si="3"/>
        <v/>
      </c>
      <c r="M27" s="26" t="str">
        <f t="shared" si="3"/>
        <v/>
      </c>
      <c r="N27" s="26" t="str">
        <f t="shared" si="3"/>
        <v/>
      </c>
      <c r="O27" s="27" t="str">
        <f t="shared" si="2"/>
        <v/>
      </c>
    </row>
    <row r="28" spans="2:19" x14ac:dyDescent="0.3">
      <c r="B28" s="29" t="s">
        <v>29</v>
      </c>
      <c r="C28" s="33">
        <f>$C$5*$C$27</f>
        <v>6.5</v>
      </c>
      <c r="H28" s="19" t="s">
        <v>1</v>
      </c>
      <c r="J28" s="26">
        <f t="shared" si="3"/>
        <v>6.5</v>
      </c>
      <c r="K28" s="26" t="str">
        <f t="shared" si="3"/>
        <v/>
      </c>
      <c r="L28" s="26" t="str">
        <f t="shared" si="3"/>
        <v/>
      </c>
      <c r="M28" s="26" t="str">
        <f t="shared" si="3"/>
        <v/>
      </c>
      <c r="N28" s="26" t="str">
        <f t="shared" si="3"/>
        <v/>
      </c>
      <c r="O28" s="27" t="str">
        <f t="shared" si="2"/>
        <v>A</v>
      </c>
    </row>
    <row r="29" spans="2:19" x14ac:dyDescent="0.3">
      <c r="B29" s="29" t="s">
        <v>27</v>
      </c>
      <c r="C29" s="33">
        <f>0.12/(($C$5*$C$27)+(($C$7*1)/($C$13*$C$21))-($D$24/2))</f>
        <v>1.3899613899613901E-2</v>
      </c>
      <c r="H29" s="19" t="s">
        <v>11</v>
      </c>
      <c r="J29" s="26">
        <f t="shared" si="3"/>
        <v>13.9</v>
      </c>
      <c r="K29" s="26" t="str">
        <f t="shared" si="3"/>
        <v/>
      </c>
      <c r="L29" s="26" t="str">
        <f t="shared" si="3"/>
        <v/>
      </c>
      <c r="M29" s="26" t="str">
        <f t="shared" si="3"/>
        <v/>
      </c>
      <c r="N29" s="26" t="str">
        <f t="shared" si="3"/>
        <v/>
      </c>
      <c r="O29" s="27" t="str">
        <f t="shared" si="2"/>
        <v>mOhms</v>
      </c>
      <c r="S29" s="19" t="s">
        <v>28</v>
      </c>
    </row>
    <row r="30" spans="2:19" x14ac:dyDescent="0.3">
      <c r="B30" s="29" t="s">
        <v>30</v>
      </c>
      <c r="C30" s="30">
        <v>1.4E-2</v>
      </c>
      <c r="H30" s="19" t="s">
        <v>11</v>
      </c>
      <c r="J30" s="31">
        <f t="shared" si="3"/>
        <v>14</v>
      </c>
      <c r="K30" s="31" t="str">
        <f t="shared" si="3"/>
        <v/>
      </c>
      <c r="L30" s="31" t="str">
        <f t="shared" si="3"/>
        <v/>
      </c>
      <c r="M30" s="31" t="str">
        <f t="shared" si="3"/>
        <v/>
      </c>
      <c r="N30" s="31" t="str">
        <f t="shared" si="3"/>
        <v/>
      </c>
      <c r="O30" s="32" t="str">
        <f t="shared" si="2"/>
        <v>mOhms</v>
      </c>
      <c r="P30" s="19" t="s">
        <v>89</v>
      </c>
      <c r="Q30" s="38" t="s">
        <v>90</v>
      </c>
      <c r="S30" s="19" t="s">
        <v>33</v>
      </c>
    </row>
    <row r="31" spans="2:19" ht="15" thickBot="1" x14ac:dyDescent="0.35">
      <c r="B31" s="29" t="s">
        <v>91</v>
      </c>
      <c r="C31" s="30">
        <v>1</v>
      </c>
      <c r="H31" s="19" t="s">
        <v>35</v>
      </c>
      <c r="J31" s="31">
        <f t="shared" si="3"/>
        <v>1</v>
      </c>
      <c r="K31" s="31" t="str">
        <f t="shared" si="3"/>
        <v/>
      </c>
      <c r="L31" s="31" t="str">
        <f t="shared" si="3"/>
        <v/>
      </c>
      <c r="M31" s="31" t="str">
        <f t="shared" si="3"/>
        <v/>
      </c>
      <c r="N31" s="31" t="str">
        <f t="shared" si="3"/>
        <v/>
      </c>
      <c r="O31" s="32" t="str">
        <f t="shared" si="2"/>
        <v>W</v>
      </c>
      <c r="Q31" s="38"/>
      <c r="S31" s="19" t="s">
        <v>33</v>
      </c>
    </row>
    <row r="32" spans="2:19" ht="15.6" thickTop="1" thickBot="1" x14ac:dyDescent="0.35">
      <c r="B32" s="29" t="s">
        <v>92</v>
      </c>
      <c r="C32" s="34">
        <f>0.12/C30+$C$3*0.0000001/$C$21</f>
        <v>9.0914285714285707</v>
      </c>
      <c r="H32" s="19" t="s">
        <v>1</v>
      </c>
      <c r="J32" s="26">
        <f t="shared" si="3"/>
        <v>9.0909999999999993</v>
      </c>
      <c r="K32" s="26" t="str">
        <f t="shared" si="3"/>
        <v/>
      </c>
      <c r="L32" s="26" t="str">
        <f t="shared" si="3"/>
        <v/>
      </c>
      <c r="M32" s="26" t="str">
        <f t="shared" si="3"/>
        <v/>
      </c>
      <c r="N32" s="26" t="str">
        <f t="shared" si="3"/>
        <v/>
      </c>
      <c r="O32" s="27" t="str">
        <f t="shared" si="2"/>
        <v>A</v>
      </c>
      <c r="S32" s="19" t="s">
        <v>32</v>
      </c>
    </row>
    <row r="33" spans="2:19" ht="15" thickTop="1" x14ac:dyDescent="0.3">
      <c r="B33" s="29" t="s">
        <v>34</v>
      </c>
      <c r="C33" s="33">
        <f>(1-$C$7/$C$3)*$C$5^2*$C$30</f>
        <v>0.26923076923076922</v>
      </c>
      <c r="H33" s="19" t="s">
        <v>35</v>
      </c>
      <c r="J33" s="31">
        <f t="shared" si="3"/>
        <v>269.23099999999999</v>
      </c>
      <c r="K33" s="31" t="str">
        <f t="shared" si="3"/>
        <v/>
      </c>
      <c r="L33" s="31" t="str">
        <f t="shared" si="3"/>
        <v/>
      </c>
      <c r="M33" s="31" t="str">
        <f t="shared" si="3"/>
        <v/>
      </c>
      <c r="N33" s="31" t="str">
        <f t="shared" si="3"/>
        <v/>
      </c>
      <c r="O33" s="32" t="str">
        <f t="shared" si="2"/>
        <v>mW</v>
      </c>
    </row>
    <row r="34" spans="2:19" x14ac:dyDescent="0.3">
      <c r="J34" s="19" t="str">
        <f t="shared" si="3"/>
        <v/>
      </c>
      <c r="K34" s="19" t="str">
        <f t="shared" si="3"/>
        <v/>
      </c>
      <c r="L34" s="19" t="str">
        <f t="shared" si="3"/>
        <v/>
      </c>
      <c r="M34" s="19" t="str">
        <f t="shared" si="3"/>
        <v/>
      </c>
      <c r="N34" s="19" t="str">
        <f t="shared" si="3"/>
        <v/>
      </c>
      <c r="O34" s="19" t="str">
        <f t="shared" si="2"/>
        <v/>
      </c>
    </row>
    <row r="35" spans="2:19" x14ac:dyDescent="0.3">
      <c r="B35" s="29" t="s">
        <v>36</v>
      </c>
      <c r="C35" s="30">
        <v>8.1999999999999996E-10</v>
      </c>
      <c r="H35" s="19" t="s">
        <v>37</v>
      </c>
      <c r="J35" s="31">
        <f t="shared" si="3"/>
        <v>820</v>
      </c>
      <c r="K35" s="31" t="str">
        <f t="shared" si="3"/>
        <v/>
      </c>
      <c r="L35" s="31" t="str">
        <f t="shared" si="3"/>
        <v/>
      </c>
      <c r="M35" s="31" t="str">
        <f t="shared" si="3"/>
        <v/>
      </c>
      <c r="N35" s="31" t="str">
        <f t="shared" si="3"/>
        <v/>
      </c>
      <c r="O35" s="32" t="str">
        <f t="shared" si="2"/>
        <v>pF</v>
      </c>
      <c r="P35" s="19" t="s">
        <v>97</v>
      </c>
      <c r="Q35" s="38" t="s">
        <v>98</v>
      </c>
      <c r="S35" s="19" t="s">
        <v>39</v>
      </c>
    </row>
    <row r="36" spans="2:19" x14ac:dyDescent="0.3">
      <c r="B36" s="29" t="s">
        <v>38</v>
      </c>
      <c r="C36" s="33">
        <f>$C$21/(1*$C$35*$C$30*10)</f>
        <v>87108.01393728223</v>
      </c>
      <c r="H36" s="36" t="s">
        <v>11</v>
      </c>
      <c r="J36" s="26">
        <f t="shared" si="3"/>
        <v>87.108000000000004</v>
      </c>
      <c r="K36" s="26" t="str">
        <f t="shared" si="3"/>
        <v/>
      </c>
      <c r="L36" s="26" t="str">
        <f t="shared" si="3"/>
        <v/>
      </c>
      <c r="M36" s="26" t="str">
        <f t="shared" si="3"/>
        <v/>
      </c>
      <c r="N36" s="26" t="str">
        <f t="shared" si="3"/>
        <v/>
      </c>
      <c r="O36" s="27" t="str">
        <f t="shared" si="2"/>
        <v>kOhms</v>
      </c>
      <c r="S36" s="19" t="s">
        <v>40</v>
      </c>
    </row>
    <row r="37" spans="2:19" x14ac:dyDescent="0.3">
      <c r="B37" s="29" t="s">
        <v>41</v>
      </c>
      <c r="C37" s="30">
        <v>88700</v>
      </c>
      <c r="H37" s="36" t="s">
        <v>11</v>
      </c>
      <c r="J37" s="31">
        <f t="shared" si="3"/>
        <v>88.7</v>
      </c>
      <c r="K37" s="31" t="str">
        <f t="shared" si="3"/>
        <v/>
      </c>
      <c r="L37" s="31" t="str">
        <f t="shared" si="3"/>
        <v/>
      </c>
      <c r="M37" s="31" t="str">
        <f t="shared" si="3"/>
        <v/>
      </c>
      <c r="N37" s="31" t="str">
        <f t="shared" si="3"/>
        <v/>
      </c>
      <c r="O37" s="32" t="str">
        <f t="shared" si="2"/>
        <v>kOhms</v>
      </c>
      <c r="P37" s="19" t="s">
        <v>99</v>
      </c>
      <c r="Q37" s="38" t="s">
        <v>100</v>
      </c>
    </row>
    <row r="38" spans="2:19" x14ac:dyDescent="0.3">
      <c r="J38" s="19" t="str">
        <f t="shared" si="3"/>
        <v/>
      </c>
      <c r="K38" s="19" t="str">
        <f t="shared" si="3"/>
        <v/>
      </c>
      <c r="L38" s="19" t="str">
        <f t="shared" si="3"/>
        <v/>
      </c>
      <c r="M38" s="19" t="str">
        <f t="shared" si="3"/>
        <v/>
      </c>
      <c r="N38" s="19" t="str">
        <f t="shared" si="3"/>
        <v/>
      </c>
      <c r="O38" s="19" t="str">
        <f t="shared" si="2"/>
        <v/>
      </c>
    </row>
    <row r="39" spans="2:19" x14ac:dyDescent="0.3">
      <c r="B39" s="29" t="s">
        <v>42</v>
      </c>
      <c r="C39" s="25">
        <v>2</v>
      </c>
      <c r="H39" s="19" t="s">
        <v>0</v>
      </c>
      <c r="J39" s="19">
        <f t="shared" si="3"/>
        <v>2</v>
      </c>
      <c r="K39" s="19" t="str">
        <f t="shared" si="3"/>
        <v/>
      </c>
      <c r="L39" s="19" t="str">
        <f t="shared" si="3"/>
        <v/>
      </c>
      <c r="M39" s="19" t="str">
        <f t="shared" si="3"/>
        <v/>
      </c>
      <c r="N39" s="19" t="str">
        <f t="shared" si="3"/>
        <v/>
      </c>
      <c r="O39" s="19" t="str">
        <f t="shared" si="2"/>
        <v>V</v>
      </c>
    </row>
    <row r="40" spans="2:19" x14ac:dyDescent="0.3">
      <c r="B40" s="29" t="s">
        <v>49</v>
      </c>
      <c r="C40" s="25">
        <v>18</v>
      </c>
      <c r="H40" s="19" t="s">
        <v>0</v>
      </c>
      <c r="J40" s="19">
        <f t="shared" si="3"/>
        <v>18</v>
      </c>
      <c r="K40" s="19" t="str">
        <f t="shared" si="3"/>
        <v/>
      </c>
      <c r="L40" s="19" t="str">
        <f t="shared" si="3"/>
        <v/>
      </c>
      <c r="M40" s="19" t="str">
        <f t="shared" si="3"/>
        <v/>
      </c>
      <c r="N40" s="19" t="str">
        <f t="shared" si="3"/>
        <v/>
      </c>
      <c r="O40" s="19" t="str">
        <f t="shared" si="2"/>
        <v>V</v>
      </c>
    </row>
    <row r="41" spans="2:19" x14ac:dyDescent="0.3">
      <c r="B41" s="29" t="s">
        <v>43</v>
      </c>
      <c r="C41" s="28">
        <f>C39/0.00002</f>
        <v>99999.999999999985</v>
      </c>
      <c r="H41" s="19" t="s">
        <v>11</v>
      </c>
      <c r="J41" s="26">
        <f t="shared" si="3"/>
        <v>100</v>
      </c>
      <c r="K41" s="26" t="str">
        <f t="shared" si="3"/>
        <v/>
      </c>
      <c r="L41" s="26" t="str">
        <f t="shared" si="3"/>
        <v/>
      </c>
      <c r="M41" s="26" t="str">
        <f t="shared" si="3"/>
        <v/>
      </c>
      <c r="N41" s="26" t="str">
        <f t="shared" si="3"/>
        <v/>
      </c>
      <c r="O41" s="27" t="str">
        <f t="shared" si="2"/>
        <v>kOhms</v>
      </c>
      <c r="S41" s="19" t="s">
        <v>44</v>
      </c>
    </row>
    <row r="42" spans="2:19" x14ac:dyDescent="0.3">
      <c r="B42" s="29" t="s">
        <v>45</v>
      </c>
      <c r="C42" s="30">
        <v>100000</v>
      </c>
      <c r="H42" s="19" t="s">
        <v>11</v>
      </c>
      <c r="J42" s="31">
        <f t="shared" si="3"/>
        <v>100</v>
      </c>
      <c r="K42" s="31" t="str">
        <f t="shared" si="3"/>
        <v/>
      </c>
      <c r="L42" s="31" t="str">
        <f t="shared" si="3"/>
        <v/>
      </c>
      <c r="M42" s="31" t="str">
        <f t="shared" si="3"/>
        <v/>
      </c>
      <c r="N42" s="31" t="str">
        <f t="shared" si="3"/>
        <v/>
      </c>
      <c r="O42" s="32" t="str">
        <f t="shared" si="2"/>
        <v>kOhms</v>
      </c>
      <c r="P42" s="19" t="s">
        <v>99</v>
      </c>
      <c r="Q42" s="38" t="s">
        <v>101</v>
      </c>
    </row>
    <row r="43" spans="2:19" x14ac:dyDescent="0.3">
      <c r="B43" s="29" t="s">
        <v>46</v>
      </c>
      <c r="C43" s="33">
        <f>1.25*$C$42/($C$40-1.25)</f>
        <v>7462.686567164179</v>
      </c>
      <c r="H43" s="19" t="s">
        <v>11</v>
      </c>
      <c r="J43" s="26">
        <f t="shared" si="3"/>
        <v>7.4630000000000001</v>
      </c>
      <c r="K43" s="26" t="str">
        <f t="shared" si="3"/>
        <v/>
      </c>
      <c r="L43" s="26" t="str">
        <f t="shared" si="3"/>
        <v/>
      </c>
      <c r="M43" s="26" t="str">
        <f t="shared" si="3"/>
        <v/>
      </c>
      <c r="N43" s="26" t="str">
        <f t="shared" si="3"/>
        <v/>
      </c>
      <c r="O43" s="27" t="str">
        <f t="shared" si="2"/>
        <v>kOhms</v>
      </c>
      <c r="S43" s="19" t="s">
        <v>47</v>
      </c>
    </row>
    <row r="44" spans="2:19" ht="15" thickBot="1" x14ac:dyDescent="0.35">
      <c r="B44" s="29" t="s">
        <v>48</v>
      </c>
      <c r="C44" s="30">
        <v>7500</v>
      </c>
      <c r="H44" s="19" t="s">
        <v>11</v>
      </c>
      <c r="J44" s="31">
        <f t="shared" si="3"/>
        <v>7.5</v>
      </c>
      <c r="K44" s="31" t="str">
        <f t="shared" si="3"/>
        <v/>
      </c>
      <c r="L44" s="31" t="str">
        <f t="shared" si="3"/>
        <v/>
      </c>
      <c r="M44" s="31" t="str">
        <f t="shared" si="3"/>
        <v/>
      </c>
      <c r="N44" s="31" t="str">
        <f t="shared" si="3"/>
        <v/>
      </c>
      <c r="O44" s="32" t="str">
        <f t="shared" si="2"/>
        <v>kOhms</v>
      </c>
      <c r="P44" s="19" t="s">
        <v>99</v>
      </c>
      <c r="Q44" s="38" t="s">
        <v>102</v>
      </c>
    </row>
    <row r="45" spans="2:19" ht="15.6" thickTop="1" thickBot="1" x14ac:dyDescent="0.35">
      <c r="B45" s="29" t="s">
        <v>50</v>
      </c>
      <c r="C45" s="34">
        <f>1.25*($C$42+$C$44)/$C$44</f>
        <v>17.916666666666668</v>
      </c>
      <c r="H45" s="19" t="s">
        <v>0</v>
      </c>
      <c r="J45" s="26">
        <f t="shared" si="3"/>
        <v>17.917000000000002</v>
      </c>
      <c r="K45" s="26" t="str">
        <f t="shared" si="3"/>
        <v/>
      </c>
      <c r="L45" s="26" t="str">
        <f t="shared" si="3"/>
        <v/>
      </c>
      <c r="M45" s="26" t="str">
        <f t="shared" si="3"/>
        <v/>
      </c>
      <c r="N45" s="26" t="str">
        <f t="shared" si="3"/>
        <v/>
      </c>
      <c r="O45" s="27" t="str">
        <f t="shared" si="2"/>
        <v>V</v>
      </c>
    </row>
    <row r="46" spans="2:19" ht="15" thickTop="1" x14ac:dyDescent="0.3">
      <c r="J46" s="19" t="str">
        <f t="shared" si="3"/>
        <v/>
      </c>
      <c r="K46" s="19" t="str">
        <f t="shared" si="3"/>
        <v/>
      </c>
      <c r="L46" s="19" t="str">
        <f t="shared" si="3"/>
        <v/>
      </c>
      <c r="M46" s="19" t="str">
        <f t="shared" si="3"/>
        <v/>
      </c>
      <c r="N46" s="19" t="str">
        <f t="shared" si="3"/>
        <v/>
      </c>
      <c r="O46" s="19" t="str">
        <f t="shared" si="2"/>
        <v/>
      </c>
    </row>
    <row r="47" spans="2:19" x14ac:dyDescent="0.3">
      <c r="B47" s="29" t="s">
        <v>56</v>
      </c>
      <c r="C47" s="25">
        <v>0.25</v>
      </c>
      <c r="H47" s="19" t="s">
        <v>0</v>
      </c>
      <c r="J47" s="26">
        <f t="shared" si="3"/>
        <v>250</v>
      </c>
      <c r="K47" s="26" t="str">
        <f t="shared" si="3"/>
        <v/>
      </c>
      <c r="L47" s="26" t="str">
        <f t="shared" si="3"/>
        <v/>
      </c>
      <c r="M47" s="26" t="str">
        <f t="shared" si="3"/>
        <v/>
      </c>
      <c r="N47" s="26" t="str">
        <f t="shared" si="3"/>
        <v/>
      </c>
      <c r="O47" s="27" t="str">
        <f t="shared" si="2"/>
        <v>mV</v>
      </c>
    </row>
    <row r="48" spans="2:19" x14ac:dyDescent="0.3">
      <c r="B48" s="29" t="s">
        <v>57</v>
      </c>
      <c r="C48" s="33">
        <f>$C$5/(4*$C$13*$C$47)</f>
        <v>1.1111111111111112E-5</v>
      </c>
      <c r="H48" s="19" t="s">
        <v>37</v>
      </c>
      <c r="J48" s="26">
        <f t="shared" si="3"/>
        <v>11.111000000000001</v>
      </c>
      <c r="K48" s="26" t="str">
        <f t="shared" si="3"/>
        <v/>
      </c>
      <c r="L48" s="26" t="str">
        <f t="shared" si="3"/>
        <v/>
      </c>
      <c r="M48" s="26" t="str">
        <f t="shared" si="3"/>
        <v/>
      </c>
      <c r="N48" s="26" t="str">
        <f t="shared" si="3"/>
        <v/>
      </c>
      <c r="O48" s="27" t="str">
        <f t="shared" si="2"/>
        <v>µF</v>
      </c>
    </row>
    <row r="49" spans="2:19" x14ac:dyDescent="0.3">
      <c r="B49" s="29" t="s">
        <v>103</v>
      </c>
      <c r="C49" s="30">
        <v>1.5E-5</v>
      </c>
      <c r="D49" s="33">
        <f>$C$49</f>
        <v>1.5E-5</v>
      </c>
      <c r="E49" s="33">
        <f t="shared" ref="E49:G49" si="5">$C$49</f>
        <v>1.5E-5</v>
      </c>
      <c r="F49" s="33">
        <f t="shared" si="5"/>
        <v>1.5E-5</v>
      </c>
      <c r="G49" s="33">
        <f t="shared" si="5"/>
        <v>1.5E-5</v>
      </c>
      <c r="H49" s="19" t="s">
        <v>37</v>
      </c>
      <c r="J49" s="31">
        <f t="shared" si="3"/>
        <v>15</v>
      </c>
      <c r="K49" s="31">
        <f t="shared" si="3"/>
        <v>15</v>
      </c>
      <c r="L49" s="31">
        <f t="shared" si="3"/>
        <v>15</v>
      </c>
      <c r="M49" s="31">
        <f t="shared" si="3"/>
        <v>15</v>
      </c>
      <c r="N49" s="31">
        <f t="shared" si="3"/>
        <v>15</v>
      </c>
      <c r="O49" s="32" t="str">
        <f t="shared" si="2"/>
        <v>µF</v>
      </c>
      <c r="P49" s="19" t="s">
        <v>107</v>
      </c>
      <c r="Q49" s="38" t="s">
        <v>108</v>
      </c>
    </row>
    <row r="50" spans="2:19" x14ac:dyDescent="0.3">
      <c r="B50" s="29" t="s">
        <v>106</v>
      </c>
      <c r="C50" s="30">
        <v>4.4999999999999997E-3</v>
      </c>
      <c r="D50" s="33">
        <f>$C$50</f>
        <v>4.4999999999999997E-3</v>
      </c>
      <c r="E50" s="33">
        <f t="shared" ref="E50:G50" si="6">$C$50</f>
        <v>4.4999999999999997E-3</v>
      </c>
      <c r="F50" s="33">
        <f t="shared" si="6"/>
        <v>4.4999999999999997E-3</v>
      </c>
      <c r="G50" s="33">
        <f t="shared" si="6"/>
        <v>4.4999999999999997E-3</v>
      </c>
      <c r="H50" s="19" t="s">
        <v>5</v>
      </c>
      <c r="J50" s="31">
        <f t="shared" si="3"/>
        <v>4.5</v>
      </c>
      <c r="K50" s="31">
        <f t="shared" si="3"/>
        <v>4.5</v>
      </c>
      <c r="L50" s="31">
        <f t="shared" si="3"/>
        <v>4.5</v>
      </c>
      <c r="M50" s="31">
        <f t="shared" si="3"/>
        <v>4.5</v>
      </c>
      <c r="N50" s="31">
        <f t="shared" si="3"/>
        <v>4.5</v>
      </c>
      <c r="O50" s="32" t="str">
        <f t="shared" si="2"/>
        <v>mOhm</v>
      </c>
      <c r="S50" s="19" t="s">
        <v>112</v>
      </c>
    </row>
    <row r="51" spans="2:19" x14ac:dyDescent="0.3">
      <c r="B51" s="29" t="s">
        <v>104</v>
      </c>
      <c r="C51" s="39">
        <f>1-0.486</f>
        <v>0.51400000000000001</v>
      </c>
      <c r="D51" s="39">
        <f>1-0.111</f>
        <v>0.88900000000000001</v>
      </c>
      <c r="E51" s="39">
        <f>1-0.158</f>
        <v>0.84199999999999997</v>
      </c>
      <c r="F51" s="39">
        <f>1-0.309</f>
        <v>0.69100000000000006</v>
      </c>
      <c r="G51" s="39">
        <f>1-0.486</f>
        <v>0.51400000000000001</v>
      </c>
      <c r="J51" s="31">
        <f t="shared" si="3"/>
        <v>514</v>
      </c>
      <c r="K51" s="31">
        <f t="shared" si="3"/>
        <v>889</v>
      </c>
      <c r="L51" s="31">
        <f t="shared" si="3"/>
        <v>842</v>
      </c>
      <c r="M51" s="31">
        <f t="shared" si="3"/>
        <v>691</v>
      </c>
      <c r="N51" s="31">
        <f t="shared" si="3"/>
        <v>514</v>
      </c>
      <c r="O51" s="32" t="str">
        <f t="shared" si="2"/>
        <v/>
      </c>
      <c r="S51" s="19" t="s">
        <v>112</v>
      </c>
    </row>
    <row r="52" spans="2:19" x14ac:dyDescent="0.3">
      <c r="B52" s="29" t="s">
        <v>105</v>
      </c>
      <c r="C52" s="25">
        <v>2</v>
      </c>
      <c r="D52" s="28">
        <f>$C$52</f>
        <v>2</v>
      </c>
      <c r="E52" s="28">
        <f t="shared" ref="E52:G52" si="7">$C$52</f>
        <v>2</v>
      </c>
      <c r="F52" s="28">
        <f t="shared" si="7"/>
        <v>2</v>
      </c>
      <c r="G52" s="28">
        <f t="shared" si="7"/>
        <v>2</v>
      </c>
      <c r="J52" s="31">
        <f t="shared" si="3"/>
        <v>2</v>
      </c>
      <c r="K52" s="31">
        <f t="shared" si="3"/>
        <v>2</v>
      </c>
      <c r="L52" s="31">
        <f t="shared" si="3"/>
        <v>2</v>
      </c>
      <c r="M52" s="31">
        <f t="shared" si="3"/>
        <v>2</v>
      </c>
      <c r="N52" s="31">
        <f t="shared" si="3"/>
        <v>2</v>
      </c>
      <c r="O52" s="32" t="str">
        <f t="shared" si="2"/>
        <v/>
      </c>
    </row>
    <row r="53" spans="2:19" x14ac:dyDescent="0.3">
      <c r="B53" s="29" t="s">
        <v>58</v>
      </c>
      <c r="C53" s="33">
        <f>$C$51*$C$49</f>
        <v>7.7100000000000007E-6</v>
      </c>
      <c r="D53" s="33">
        <f>D50*$C$49</f>
        <v>6.7500000000000002E-8</v>
      </c>
      <c r="E53" s="33">
        <f t="shared" ref="E53:G53" si="8">E50*$C$49</f>
        <v>6.7500000000000002E-8</v>
      </c>
      <c r="F53" s="33">
        <f t="shared" si="8"/>
        <v>6.7500000000000002E-8</v>
      </c>
      <c r="G53" s="33">
        <f t="shared" si="8"/>
        <v>6.7500000000000002E-8</v>
      </c>
      <c r="H53" s="19" t="s">
        <v>37</v>
      </c>
      <c r="J53" s="31">
        <f t="shared" si="3"/>
        <v>7.71</v>
      </c>
      <c r="K53" s="31">
        <f t="shared" si="3"/>
        <v>67.5</v>
      </c>
      <c r="L53" s="31">
        <f t="shared" si="3"/>
        <v>67.5</v>
      </c>
      <c r="M53" s="31">
        <f t="shared" si="3"/>
        <v>67.5</v>
      </c>
      <c r="N53" s="31">
        <f t="shared" si="3"/>
        <v>67.5</v>
      </c>
      <c r="O53" s="32" t="str">
        <f t="shared" si="2"/>
        <v>µF</v>
      </c>
    </row>
    <row r="54" spans="2:19" x14ac:dyDescent="0.3">
      <c r="B54" s="29" t="s">
        <v>117</v>
      </c>
      <c r="C54" s="33">
        <f>$C$52*$C$51*$C$49</f>
        <v>1.5420000000000001E-5</v>
      </c>
      <c r="D54" s="33">
        <f>$C$52*D51*$C$49</f>
        <v>2.667E-5</v>
      </c>
      <c r="E54" s="33">
        <f t="shared" ref="E54:G54" si="9">$C$52*E51*$C$49</f>
        <v>2.5259999999999999E-5</v>
      </c>
      <c r="F54" s="33">
        <f t="shared" si="9"/>
        <v>2.0730000000000003E-5</v>
      </c>
      <c r="G54" s="33">
        <f t="shared" si="9"/>
        <v>1.5420000000000001E-5</v>
      </c>
      <c r="H54" s="19" t="s">
        <v>37</v>
      </c>
      <c r="J54" s="31">
        <f t="shared" si="3"/>
        <v>15.42</v>
      </c>
      <c r="K54" s="31">
        <f t="shared" si="3"/>
        <v>26.67</v>
      </c>
      <c r="L54" s="31">
        <f t="shared" si="3"/>
        <v>25.26</v>
      </c>
      <c r="M54" s="31">
        <f t="shared" si="3"/>
        <v>20.73</v>
      </c>
      <c r="N54" s="31">
        <f t="shared" si="3"/>
        <v>15.42</v>
      </c>
      <c r="O54" s="32" t="str">
        <f t="shared" si="2"/>
        <v>µF</v>
      </c>
    </row>
    <row r="55" spans="2:19" ht="15" thickBot="1" x14ac:dyDescent="0.35">
      <c r="B55" s="29" t="s">
        <v>106</v>
      </c>
      <c r="C55" s="33">
        <f>$C$50/$C$52</f>
        <v>2.2499999999999998E-3</v>
      </c>
      <c r="D55" s="33">
        <f>$C$50/$C$52</f>
        <v>2.2499999999999998E-3</v>
      </c>
      <c r="E55" s="33">
        <f t="shared" ref="E55:G55" si="10">$C$50/$C$52</f>
        <v>2.2499999999999998E-3</v>
      </c>
      <c r="F55" s="33">
        <f t="shared" si="10"/>
        <v>2.2499999999999998E-3</v>
      </c>
      <c r="G55" s="33">
        <f t="shared" si="10"/>
        <v>2.2499999999999998E-3</v>
      </c>
      <c r="H55" s="19" t="s">
        <v>5</v>
      </c>
      <c r="J55" s="31">
        <f t="shared" si="3"/>
        <v>2.25</v>
      </c>
      <c r="K55" s="31">
        <f t="shared" si="3"/>
        <v>2.25</v>
      </c>
      <c r="L55" s="31">
        <f t="shared" si="3"/>
        <v>2.25</v>
      </c>
      <c r="M55" s="31">
        <f t="shared" si="3"/>
        <v>2.25</v>
      </c>
      <c r="N55" s="31">
        <f t="shared" si="3"/>
        <v>2.25</v>
      </c>
      <c r="O55" s="32" t="str">
        <f t="shared" si="2"/>
        <v>mOhm</v>
      </c>
    </row>
    <row r="56" spans="2:19" ht="15.6" thickTop="1" thickBot="1" x14ac:dyDescent="0.35">
      <c r="B56" s="29" t="s">
        <v>59</v>
      </c>
      <c r="C56" s="34">
        <f>$C$5/(4*$C$13*$C$54)</f>
        <v>0.1801412307248883</v>
      </c>
      <c r="D56" s="34">
        <f>$C$5/(4*$C$13*D54)</f>
        <v>0.10415364746073408</v>
      </c>
      <c r="E56" s="34">
        <f t="shared" ref="E56:G56" si="11">$C$5/(4*$C$13*E54)</f>
        <v>0.10996744963490808</v>
      </c>
      <c r="F56" s="34">
        <f t="shared" si="11"/>
        <v>0.13399796323095886</v>
      </c>
      <c r="G56" s="34">
        <f t="shared" si="11"/>
        <v>0.1801412307248883</v>
      </c>
      <c r="H56" s="19" t="s">
        <v>0</v>
      </c>
      <c r="J56" s="26">
        <f t="shared" si="3"/>
        <v>180.14099999999999</v>
      </c>
      <c r="K56" s="26">
        <f t="shared" si="3"/>
        <v>104.154</v>
      </c>
      <c r="L56" s="26">
        <f t="shared" si="3"/>
        <v>109.967</v>
      </c>
      <c r="M56" s="26">
        <f t="shared" si="3"/>
        <v>133.99799999999999</v>
      </c>
      <c r="N56" s="26">
        <f t="shared" si="3"/>
        <v>180.14099999999999</v>
      </c>
      <c r="O56" s="37" t="str">
        <f t="shared" si="2"/>
        <v>mV</v>
      </c>
    </row>
    <row r="57" spans="2:19" ht="15" thickTop="1" x14ac:dyDescent="0.3">
      <c r="J57" s="19" t="str">
        <f t="shared" si="3"/>
        <v/>
      </c>
      <c r="K57" s="19" t="str">
        <f t="shared" si="3"/>
        <v/>
      </c>
      <c r="L57" s="19" t="str">
        <f t="shared" si="3"/>
        <v/>
      </c>
      <c r="M57" s="19" t="str">
        <f t="shared" si="3"/>
        <v/>
      </c>
      <c r="N57" s="19" t="str">
        <f t="shared" si="3"/>
        <v/>
      </c>
      <c r="O57" s="19" t="str">
        <f t="shared" si="2"/>
        <v/>
      </c>
    </row>
    <row r="58" spans="2:19" x14ac:dyDescent="0.3">
      <c r="B58" s="29" t="s">
        <v>51</v>
      </c>
      <c r="C58" s="30">
        <v>2.5000000000000001E-2</v>
      </c>
      <c r="H58" s="19" t="s">
        <v>0</v>
      </c>
      <c r="J58" s="26">
        <f t="shared" si="3"/>
        <v>25</v>
      </c>
      <c r="K58" s="26" t="str">
        <f t="shared" si="3"/>
        <v/>
      </c>
      <c r="L58" s="26" t="str">
        <f t="shared" si="3"/>
        <v/>
      </c>
      <c r="M58" s="26" t="str">
        <f t="shared" si="3"/>
        <v/>
      </c>
      <c r="N58" s="26" t="str">
        <f t="shared" si="3"/>
        <v/>
      </c>
      <c r="O58" s="27" t="str">
        <f t="shared" si="2"/>
        <v>mV</v>
      </c>
      <c r="S58" s="19" t="s">
        <v>55</v>
      </c>
    </row>
    <row r="59" spans="2:19" x14ac:dyDescent="0.3">
      <c r="B59" s="29" t="s">
        <v>77</v>
      </c>
      <c r="C59" s="30">
        <v>2E-3</v>
      </c>
      <c r="H59" s="19" t="s">
        <v>11</v>
      </c>
      <c r="J59" s="26">
        <f t="shared" si="3"/>
        <v>2</v>
      </c>
      <c r="K59" s="26" t="str">
        <f t="shared" si="3"/>
        <v/>
      </c>
      <c r="L59" s="26" t="str">
        <f t="shared" si="3"/>
        <v/>
      </c>
      <c r="M59" s="26" t="str">
        <f t="shared" si="3"/>
        <v/>
      </c>
      <c r="N59" s="26" t="str">
        <f t="shared" si="3"/>
        <v/>
      </c>
      <c r="O59" s="27" t="str">
        <f t="shared" si="2"/>
        <v>mOhms</v>
      </c>
    </row>
    <row r="60" spans="2:19" x14ac:dyDescent="0.3">
      <c r="B60" s="29" t="s">
        <v>52</v>
      </c>
      <c r="C60" s="33">
        <f>1/(8*$C$13*SQRT(($C$58/$C$24)^2-$C$59^2))</f>
        <v>2.310525420939072E-5</v>
      </c>
      <c r="H60" s="19" t="s">
        <v>37</v>
      </c>
      <c r="J60" s="26">
        <f t="shared" si="3"/>
        <v>23.105</v>
      </c>
      <c r="K60" s="26" t="str">
        <f t="shared" si="3"/>
        <v/>
      </c>
      <c r="L60" s="26" t="str">
        <f t="shared" si="3"/>
        <v/>
      </c>
      <c r="M60" s="26" t="str">
        <f t="shared" si="3"/>
        <v/>
      </c>
      <c r="N60" s="26" t="str">
        <f t="shared" si="3"/>
        <v/>
      </c>
      <c r="O60" s="27" t="str">
        <f t="shared" si="2"/>
        <v>µF</v>
      </c>
    </row>
    <row r="61" spans="2:19" x14ac:dyDescent="0.3">
      <c r="B61" s="29" t="s">
        <v>109</v>
      </c>
      <c r="C61" s="30">
        <v>1.5E-5</v>
      </c>
      <c r="D61"/>
      <c r="E61"/>
      <c r="F61"/>
      <c r="G61"/>
      <c r="H61" s="19" t="s">
        <v>37</v>
      </c>
      <c r="J61" s="31">
        <f t="shared" si="3"/>
        <v>15</v>
      </c>
      <c r="K61" s="31" t="str">
        <f t="shared" si="3"/>
        <v/>
      </c>
      <c r="L61" s="31" t="str">
        <f t="shared" si="3"/>
        <v/>
      </c>
      <c r="M61" s="31" t="str">
        <f t="shared" si="3"/>
        <v/>
      </c>
      <c r="N61" s="31" t="str">
        <f t="shared" si="3"/>
        <v/>
      </c>
      <c r="O61" s="32" t="str">
        <f t="shared" si="2"/>
        <v>µF</v>
      </c>
      <c r="P61" s="19" t="s">
        <v>107</v>
      </c>
      <c r="Q61" s="38" t="s">
        <v>108</v>
      </c>
    </row>
    <row r="62" spans="2:19" x14ac:dyDescent="0.3">
      <c r="B62" s="29" t="s">
        <v>76</v>
      </c>
      <c r="C62" s="30">
        <v>4.4999999999999997E-3</v>
      </c>
      <c r="D62"/>
      <c r="E62"/>
      <c r="F62"/>
      <c r="G62"/>
      <c r="H62" s="19" t="s">
        <v>5</v>
      </c>
      <c r="J62" s="31">
        <f t="shared" si="3"/>
        <v>4.5</v>
      </c>
      <c r="K62" s="31" t="str">
        <f t="shared" si="3"/>
        <v/>
      </c>
      <c r="L62" s="31" t="str">
        <f t="shared" si="3"/>
        <v/>
      </c>
      <c r="M62" s="31" t="str">
        <f t="shared" si="3"/>
        <v/>
      </c>
      <c r="N62" s="31" t="str">
        <f t="shared" si="3"/>
        <v/>
      </c>
      <c r="O62" s="32" t="str">
        <f t="shared" si="2"/>
        <v>mOhm</v>
      </c>
      <c r="S62" s="19" t="s">
        <v>112</v>
      </c>
    </row>
    <row r="63" spans="2:19" x14ac:dyDescent="0.3">
      <c r="B63" s="29" t="s">
        <v>110</v>
      </c>
      <c r="C63" s="39">
        <f>1-0.032</f>
        <v>0.96799999999999997</v>
      </c>
      <c r="D63"/>
      <c r="E63"/>
      <c r="F63"/>
      <c r="G63"/>
      <c r="J63" s="31">
        <f t="shared" si="3"/>
        <v>968</v>
      </c>
      <c r="K63" s="31" t="str">
        <f t="shared" si="3"/>
        <v/>
      </c>
      <c r="L63" s="31" t="str">
        <f t="shared" si="3"/>
        <v/>
      </c>
      <c r="M63" s="31" t="str">
        <f t="shared" si="3"/>
        <v/>
      </c>
      <c r="N63" s="31" t="str">
        <f t="shared" si="3"/>
        <v/>
      </c>
      <c r="O63" s="32" t="str">
        <f t="shared" si="2"/>
        <v/>
      </c>
      <c r="S63" s="19" t="s">
        <v>112</v>
      </c>
    </row>
    <row r="64" spans="2:19" x14ac:dyDescent="0.3">
      <c r="B64" s="29" t="s">
        <v>111</v>
      </c>
      <c r="C64" s="25">
        <v>3</v>
      </c>
      <c r="D64"/>
      <c r="E64"/>
      <c r="F64"/>
      <c r="G64"/>
      <c r="J64" s="31">
        <f t="shared" si="3"/>
        <v>3</v>
      </c>
      <c r="K64" s="31" t="str">
        <f t="shared" si="3"/>
        <v/>
      </c>
      <c r="L64" s="31" t="str">
        <f t="shared" si="3"/>
        <v/>
      </c>
      <c r="M64" s="31" t="str">
        <f t="shared" si="3"/>
        <v/>
      </c>
      <c r="N64" s="31" t="str">
        <f t="shared" si="3"/>
        <v/>
      </c>
      <c r="O64" s="32" t="str">
        <f t="shared" si="2"/>
        <v/>
      </c>
    </row>
    <row r="65" spans="2:19" x14ac:dyDescent="0.3">
      <c r="B65" s="29" t="s">
        <v>53</v>
      </c>
      <c r="C65" s="33">
        <f>$C$63*$C$61</f>
        <v>1.452E-5</v>
      </c>
      <c r="H65" s="19" t="s">
        <v>37</v>
      </c>
      <c r="J65" s="31">
        <f t="shared" si="3"/>
        <v>14.52</v>
      </c>
      <c r="K65" s="31" t="str">
        <f t="shared" si="3"/>
        <v/>
      </c>
      <c r="L65" s="31" t="str">
        <f t="shared" si="3"/>
        <v/>
      </c>
      <c r="M65" s="31" t="str">
        <f t="shared" si="3"/>
        <v/>
      </c>
      <c r="N65" s="31" t="str">
        <f t="shared" si="3"/>
        <v/>
      </c>
      <c r="O65" s="32" t="str">
        <f t="shared" si="2"/>
        <v>µF</v>
      </c>
    </row>
    <row r="66" spans="2:19" x14ac:dyDescent="0.3">
      <c r="B66" s="29" t="s">
        <v>116</v>
      </c>
      <c r="C66" s="33">
        <f>$C$64*$C$63*$C$61</f>
        <v>4.3560000000000003E-5</v>
      </c>
      <c r="H66" s="19" t="s">
        <v>37</v>
      </c>
      <c r="J66" s="31">
        <f t="shared" si="3"/>
        <v>43.56</v>
      </c>
      <c r="K66" s="31" t="str">
        <f t="shared" si="3"/>
        <v/>
      </c>
      <c r="L66" s="31" t="str">
        <f t="shared" si="3"/>
        <v/>
      </c>
      <c r="M66" s="31" t="str">
        <f t="shared" si="3"/>
        <v/>
      </c>
      <c r="N66" s="31" t="str">
        <f t="shared" si="3"/>
        <v/>
      </c>
      <c r="O66" s="32" t="str">
        <f t="shared" si="2"/>
        <v>µF</v>
      </c>
    </row>
    <row r="67" spans="2:19" ht="15" thickBot="1" x14ac:dyDescent="0.35">
      <c r="B67" s="29" t="s">
        <v>76</v>
      </c>
      <c r="C67" s="33">
        <f>$C$62/$C$64</f>
        <v>1.4999999999999998E-3</v>
      </c>
      <c r="H67" s="19" t="s">
        <v>11</v>
      </c>
      <c r="J67" s="31">
        <f t="shared" si="3"/>
        <v>1.5</v>
      </c>
      <c r="K67" s="31" t="str">
        <f t="shared" si="3"/>
        <v/>
      </c>
      <c r="L67" s="31" t="str">
        <f t="shared" si="3"/>
        <v/>
      </c>
      <c r="M67" s="31" t="str">
        <f t="shared" si="3"/>
        <v/>
      </c>
      <c r="N67" s="31" t="str">
        <f t="shared" si="3"/>
        <v/>
      </c>
      <c r="O67" s="32" t="str">
        <f t="shared" si="2"/>
        <v>mOhms</v>
      </c>
    </row>
    <row r="68" spans="2:19" ht="15.6" thickTop="1" thickBot="1" x14ac:dyDescent="0.35">
      <c r="B68" s="29" t="s">
        <v>54</v>
      </c>
      <c r="C68" s="34">
        <f>$C$24*SQRT($C$67^2+(1/(8*$C$13*$C$66))^2)</f>
        <v>1.3437832335753753E-2</v>
      </c>
      <c r="H68" s="19" t="s">
        <v>0</v>
      </c>
      <c r="J68" s="26">
        <f t="shared" si="3"/>
        <v>13.438000000000001</v>
      </c>
      <c r="K68" s="26" t="str">
        <f t="shared" si="3"/>
        <v/>
      </c>
      <c r="L68" s="26" t="str">
        <f t="shared" si="3"/>
        <v/>
      </c>
      <c r="M68" s="26" t="str">
        <f t="shared" si="3"/>
        <v/>
      </c>
      <c r="N68" s="26" t="str">
        <f t="shared" si="3"/>
        <v/>
      </c>
      <c r="O68" s="27" t="str">
        <f t="shared" si="2"/>
        <v>mV</v>
      </c>
    </row>
    <row r="69" spans="2:19" ht="15" thickTop="1" x14ac:dyDescent="0.3">
      <c r="J69" s="19" t="str">
        <f t="shared" si="3"/>
        <v/>
      </c>
      <c r="K69" s="19" t="str">
        <f t="shared" si="3"/>
        <v/>
      </c>
      <c r="L69" s="19" t="str">
        <f t="shared" si="3"/>
        <v/>
      </c>
      <c r="M69" s="19" t="str">
        <f t="shared" si="3"/>
        <v/>
      </c>
      <c r="N69" s="19" t="str">
        <f t="shared" si="3"/>
        <v/>
      </c>
      <c r="O69" s="19" t="str">
        <f t="shared" si="2"/>
        <v/>
      </c>
    </row>
    <row r="70" spans="2:19" x14ac:dyDescent="0.3">
      <c r="B70" s="29" t="s">
        <v>65</v>
      </c>
      <c r="C70" s="25">
        <v>10</v>
      </c>
      <c r="J70" s="26">
        <f t="shared" si="3"/>
        <v>10</v>
      </c>
      <c r="K70" s="26" t="str">
        <f t="shared" si="3"/>
        <v/>
      </c>
      <c r="L70" s="26" t="str">
        <f t="shared" si="3"/>
        <v/>
      </c>
      <c r="M70" s="26" t="str">
        <f t="shared" si="3"/>
        <v/>
      </c>
      <c r="N70" s="26" t="str">
        <f t="shared" si="3"/>
        <v/>
      </c>
      <c r="O70" s="27" t="str">
        <f t="shared" si="2"/>
        <v/>
      </c>
    </row>
    <row r="71" spans="2:19" x14ac:dyDescent="0.3">
      <c r="B71" s="29" t="s">
        <v>66</v>
      </c>
      <c r="C71" s="33">
        <f>$C$13/$C$70</f>
        <v>45000</v>
      </c>
      <c r="H71" s="19" t="s">
        <v>3</v>
      </c>
      <c r="J71" s="26">
        <f t="shared" si="3"/>
        <v>45</v>
      </c>
      <c r="K71" s="26" t="str">
        <f t="shared" si="3"/>
        <v/>
      </c>
      <c r="L71" s="26" t="str">
        <f t="shared" si="3"/>
        <v/>
      </c>
      <c r="M71" s="26" t="str">
        <f t="shared" si="3"/>
        <v/>
      </c>
      <c r="N71" s="26" t="str">
        <f t="shared" si="3"/>
        <v/>
      </c>
      <c r="O71" s="27" t="str">
        <f t="shared" si="2"/>
        <v>kHz</v>
      </c>
    </row>
    <row r="72" spans="2:19" x14ac:dyDescent="0.3">
      <c r="B72" s="29" t="s">
        <v>67</v>
      </c>
      <c r="C72" s="33">
        <f>2*PI()*$C$30*10*$C$66*$C$8*$C$71</f>
        <v>8604.1670676186113</v>
      </c>
      <c r="H72" s="19" t="s">
        <v>11</v>
      </c>
      <c r="J72" s="26">
        <f t="shared" ref="J72:N85" si="12">IF(ISBLANK(C72),"",IFERROR(ROUND(C72 / (
  1000 ^ INT(LOG(ABS(C72),1000)) ),3
),"-"))</f>
        <v>8.6039999999999992</v>
      </c>
      <c r="K72" s="26" t="str">
        <f t="shared" si="12"/>
        <v/>
      </c>
      <c r="L72" s="26" t="str">
        <f t="shared" si="12"/>
        <v/>
      </c>
      <c r="M72" s="26" t="str">
        <f t="shared" si="12"/>
        <v/>
      </c>
      <c r="N72" s="26" t="str">
        <f t="shared" si="12"/>
        <v/>
      </c>
      <c r="O72" s="37" t="str">
        <f t="shared" si="2"/>
        <v>kOhms</v>
      </c>
      <c r="S72" s="19" t="s">
        <v>68</v>
      </c>
    </row>
    <row r="73" spans="2:19" ht="15" thickBot="1" x14ac:dyDescent="0.35">
      <c r="B73" s="29" t="s">
        <v>69</v>
      </c>
      <c r="C73" s="30">
        <v>8660</v>
      </c>
      <c r="H73" s="19" t="s">
        <v>11</v>
      </c>
      <c r="J73" s="31">
        <f t="shared" si="12"/>
        <v>8.66</v>
      </c>
      <c r="K73" s="31" t="str">
        <f t="shared" si="12"/>
        <v/>
      </c>
      <c r="L73" s="31" t="str">
        <f t="shared" si="12"/>
        <v/>
      </c>
      <c r="M73" s="31" t="str">
        <f t="shared" si="12"/>
        <v/>
      </c>
      <c r="N73" s="31" t="str">
        <f t="shared" si="12"/>
        <v/>
      </c>
      <c r="O73" s="32" t="str">
        <f t="shared" si="2"/>
        <v>kOhms</v>
      </c>
      <c r="P73" s="19" t="s">
        <v>99</v>
      </c>
      <c r="Q73" s="38" t="s">
        <v>113</v>
      </c>
    </row>
    <row r="74" spans="2:19" ht="15.6" thickTop="1" thickBot="1" x14ac:dyDescent="0.35">
      <c r="B74" s="29" t="s">
        <v>70</v>
      </c>
      <c r="C74" s="34">
        <f>$C$73/(2*PI()*$C$30*10*$C$66*$C$8)</f>
        <v>45292.007574634168</v>
      </c>
      <c r="H74" s="19" t="s">
        <v>3</v>
      </c>
      <c r="J74" s="26">
        <f t="shared" si="12"/>
        <v>45.292000000000002</v>
      </c>
      <c r="K74" s="26" t="str">
        <f t="shared" si="12"/>
        <v/>
      </c>
      <c r="L74" s="26" t="str">
        <f t="shared" si="12"/>
        <v/>
      </c>
      <c r="M74" s="26" t="str">
        <f t="shared" si="12"/>
        <v/>
      </c>
      <c r="N74" s="26" t="str">
        <f t="shared" si="12"/>
        <v/>
      </c>
      <c r="O74" s="37" t="str">
        <f t="shared" si="2"/>
        <v>kHz</v>
      </c>
    </row>
    <row r="75" spans="2:19" ht="15" thickTop="1" x14ac:dyDescent="0.3">
      <c r="J75" s="19" t="str">
        <f t="shared" si="12"/>
        <v/>
      </c>
      <c r="K75" s="19" t="str">
        <f t="shared" si="12"/>
        <v/>
      </c>
      <c r="L75" s="19" t="str">
        <f t="shared" si="12"/>
        <v/>
      </c>
      <c r="M75" s="19" t="str">
        <f t="shared" si="12"/>
        <v/>
      </c>
      <c r="N75" s="19" t="str">
        <f t="shared" si="12"/>
        <v/>
      </c>
      <c r="O75" s="19" t="str">
        <f t="shared" si="2"/>
        <v/>
      </c>
    </row>
    <row r="76" spans="2:19" x14ac:dyDescent="0.3">
      <c r="B76" s="29" t="s">
        <v>71</v>
      </c>
      <c r="C76" s="33">
        <f>($C$7/$C$5)*$C$66/$C$73</f>
        <v>1.2072055427251733E-8</v>
      </c>
      <c r="H76" s="19" t="s">
        <v>37</v>
      </c>
      <c r="J76" s="26">
        <f t="shared" si="12"/>
        <v>12.071999999999999</v>
      </c>
      <c r="K76" s="26" t="str">
        <f t="shared" si="12"/>
        <v/>
      </c>
      <c r="L76" s="26" t="str">
        <f t="shared" si="12"/>
        <v/>
      </c>
      <c r="M76" s="26" t="str">
        <f t="shared" si="12"/>
        <v/>
      </c>
      <c r="N76" s="26" t="str">
        <f t="shared" si="12"/>
        <v/>
      </c>
      <c r="O76" s="37" t="str">
        <f t="shared" si="2"/>
        <v>nF</v>
      </c>
      <c r="S76" s="19" t="s">
        <v>68</v>
      </c>
    </row>
    <row r="77" spans="2:19" x14ac:dyDescent="0.3">
      <c r="B77" s="29" t="s">
        <v>72</v>
      </c>
      <c r="C77" s="30">
        <v>1.2E-8</v>
      </c>
      <c r="H77" s="19" t="s">
        <v>37</v>
      </c>
      <c r="J77" s="31">
        <f t="shared" si="12"/>
        <v>12</v>
      </c>
      <c r="K77" s="31" t="str">
        <f t="shared" si="12"/>
        <v/>
      </c>
      <c r="L77" s="31" t="str">
        <f t="shared" si="12"/>
        <v/>
      </c>
      <c r="M77" s="31" t="str">
        <f t="shared" si="12"/>
        <v/>
      </c>
      <c r="N77" s="31" t="str">
        <f t="shared" si="12"/>
        <v/>
      </c>
      <c r="O77" s="32" t="str">
        <f t="shared" si="2"/>
        <v>nF</v>
      </c>
      <c r="P77" s="19" t="s">
        <v>97</v>
      </c>
      <c r="Q77" s="38" t="s">
        <v>115</v>
      </c>
    </row>
    <row r="78" spans="2:19" x14ac:dyDescent="0.3">
      <c r="J78" s="19" t="str">
        <f t="shared" si="12"/>
        <v/>
      </c>
      <c r="K78" s="19" t="str">
        <f t="shared" si="12"/>
        <v/>
      </c>
      <c r="L78" s="19" t="str">
        <f t="shared" si="12"/>
        <v/>
      </c>
      <c r="M78" s="19" t="str">
        <f t="shared" si="12"/>
        <v/>
      </c>
      <c r="N78" s="19" t="str">
        <f t="shared" si="12"/>
        <v/>
      </c>
      <c r="O78" s="19" t="str">
        <f t="shared" si="2"/>
        <v/>
      </c>
    </row>
    <row r="79" spans="2:19" x14ac:dyDescent="0.3">
      <c r="B79" s="29" t="s">
        <v>73</v>
      </c>
      <c r="C79" s="33">
        <f>(($C$67/2)*$C$66*$C$77)/($C$73*$C$77-($C$67/2)*$C$66)</f>
        <v>3.7737036845590317E-12</v>
      </c>
      <c r="H79" s="19" t="s">
        <v>37</v>
      </c>
      <c r="J79" s="26">
        <f t="shared" si="12"/>
        <v>3.774</v>
      </c>
      <c r="K79" s="26" t="str">
        <f t="shared" si="12"/>
        <v/>
      </c>
      <c r="L79" s="26" t="str">
        <f t="shared" si="12"/>
        <v/>
      </c>
      <c r="M79" s="26" t="str">
        <f t="shared" si="12"/>
        <v/>
      </c>
      <c r="N79" s="26" t="str">
        <f t="shared" si="12"/>
        <v/>
      </c>
      <c r="O79" s="37" t="str">
        <f t="shared" si="2"/>
        <v>pF</v>
      </c>
      <c r="S79" s="19" t="s">
        <v>75</v>
      </c>
    </row>
    <row r="80" spans="2:19" x14ac:dyDescent="0.3">
      <c r="B80" s="29" t="s">
        <v>74</v>
      </c>
      <c r="C80" s="30">
        <v>3.8999999999999999E-12</v>
      </c>
      <c r="H80" s="19" t="s">
        <v>37</v>
      </c>
      <c r="J80" s="31">
        <f t="shared" si="12"/>
        <v>3.9</v>
      </c>
      <c r="K80" s="31" t="str">
        <f t="shared" si="12"/>
        <v/>
      </c>
      <c r="L80" s="31" t="str">
        <f t="shared" si="12"/>
        <v/>
      </c>
      <c r="M80" s="31" t="str">
        <f t="shared" si="12"/>
        <v/>
      </c>
      <c r="N80" s="31" t="str">
        <f t="shared" si="12"/>
        <v/>
      </c>
      <c r="O80" s="32" t="str">
        <f t="shared" si="2"/>
        <v>pF</v>
      </c>
      <c r="P80" s="19" t="s">
        <v>97</v>
      </c>
      <c r="Q80" s="38" t="s">
        <v>114</v>
      </c>
    </row>
    <row r="81" spans="2:15" x14ac:dyDescent="0.3">
      <c r="J81" s="19" t="str">
        <f t="shared" si="12"/>
        <v/>
      </c>
      <c r="K81" s="19" t="str">
        <f t="shared" si="12"/>
        <v/>
      </c>
      <c r="L81" s="19" t="str">
        <f t="shared" si="12"/>
        <v/>
      </c>
      <c r="M81" s="19" t="str">
        <f t="shared" si="12"/>
        <v/>
      </c>
      <c r="N81" s="19" t="str">
        <f t="shared" si="12"/>
        <v/>
      </c>
      <c r="O81" s="19" t="str">
        <f t="shared" si="2"/>
        <v/>
      </c>
    </row>
    <row r="82" spans="2:15" x14ac:dyDescent="0.3">
      <c r="B82" s="29" t="s">
        <v>78</v>
      </c>
      <c r="C82" s="33">
        <f>1/(2*PI()*$C$66*$C$7/$C$5)</f>
        <v>1522.3728104137524</v>
      </c>
      <c r="H82" s="19" t="s">
        <v>3</v>
      </c>
      <c r="J82" s="26">
        <f t="shared" si="12"/>
        <v>1.522</v>
      </c>
      <c r="K82" s="26" t="str">
        <f t="shared" si="12"/>
        <v/>
      </c>
      <c r="L82" s="26" t="str">
        <f t="shared" si="12"/>
        <v/>
      </c>
      <c r="M82" s="26" t="str">
        <f t="shared" si="12"/>
        <v/>
      </c>
      <c r="N82" s="26" t="str">
        <f t="shared" si="12"/>
        <v/>
      </c>
      <c r="O82" s="37" t="str">
        <f t="shared" ref="O82:O85" si="13">IF(ISBLANK($H82),"",IFERROR(CHOOSE(
  INT(LOG(ABS(C82),1000)) + 6,"f","p","n","µ","m","","k","M","G","T","P"
) &amp; $H82,"-"))</f>
        <v>kHz</v>
      </c>
    </row>
    <row r="83" spans="2:15" x14ac:dyDescent="0.3">
      <c r="B83" s="29" t="s">
        <v>79</v>
      </c>
      <c r="C83" s="33">
        <f>1/(2*PI()*$C$73*$C$77)</f>
        <v>1531.5140790213179</v>
      </c>
      <c r="H83" s="19" t="s">
        <v>3</v>
      </c>
      <c r="J83" s="26">
        <f t="shared" si="12"/>
        <v>1.532</v>
      </c>
      <c r="K83" s="26" t="str">
        <f t="shared" si="12"/>
        <v/>
      </c>
      <c r="L83" s="26" t="str">
        <f t="shared" si="12"/>
        <v/>
      </c>
      <c r="M83" s="26" t="str">
        <f t="shared" si="12"/>
        <v/>
      </c>
      <c r="N83" s="26" t="str">
        <f t="shared" si="12"/>
        <v/>
      </c>
      <c r="O83" s="37" t="str">
        <f t="shared" si="13"/>
        <v>kHz</v>
      </c>
    </row>
    <row r="84" spans="2:15" x14ac:dyDescent="0.3">
      <c r="B84" s="29" t="s">
        <v>80</v>
      </c>
      <c r="C84" s="33">
        <f>1/(2*PI()*$C$73*(1/(1/$C$80+1/$C$77)))</f>
        <v>4713882.5264523076</v>
      </c>
      <c r="H84" s="19" t="s">
        <v>3</v>
      </c>
      <c r="J84" s="26">
        <f t="shared" si="12"/>
        <v>4.7140000000000004</v>
      </c>
      <c r="K84" s="26" t="str">
        <f t="shared" si="12"/>
        <v/>
      </c>
      <c r="L84" s="26" t="str">
        <f t="shared" si="12"/>
        <v/>
      </c>
      <c r="M84" s="26" t="str">
        <f t="shared" si="12"/>
        <v/>
      </c>
      <c r="N84" s="26" t="str">
        <f t="shared" si="12"/>
        <v/>
      </c>
      <c r="O84" s="37" t="str">
        <f t="shared" si="13"/>
        <v>MHz</v>
      </c>
    </row>
    <row r="85" spans="2:15" x14ac:dyDescent="0.3">
      <c r="B85" s="29" t="s">
        <v>81</v>
      </c>
      <c r="C85" s="33">
        <f>1/($C$67*$C$66)</f>
        <v>15304560.759106213</v>
      </c>
      <c r="H85" s="19" t="s">
        <v>3</v>
      </c>
      <c r="J85" s="26">
        <f t="shared" si="12"/>
        <v>15.305</v>
      </c>
      <c r="K85" s="26" t="str">
        <f t="shared" si="12"/>
        <v/>
      </c>
      <c r="L85" s="26" t="str">
        <f t="shared" si="12"/>
        <v/>
      </c>
      <c r="M85" s="26" t="str">
        <f t="shared" si="12"/>
        <v/>
      </c>
      <c r="N85" s="26" t="str">
        <f t="shared" si="12"/>
        <v/>
      </c>
      <c r="O85" s="37" t="str">
        <f t="shared" si="13"/>
        <v>MHz</v>
      </c>
    </row>
  </sheetData>
  <mergeCells count="1">
    <mergeCell ref="J1:N1"/>
  </mergeCells>
  <hyperlinks>
    <hyperlink ref="Q30" r:id="rId1" xr:uid="{7776513A-6DCB-4586-A861-32684DC4A0A4}"/>
    <hyperlink ref="Q21" r:id="rId2" xr:uid="{1196AB5A-09C8-44D2-9BB3-2CC6BE59CB36}"/>
    <hyperlink ref="Q35" r:id="rId3" xr:uid="{BCB0B7BF-3E62-4DE1-A62E-B0492EB0422A}"/>
    <hyperlink ref="Q37" r:id="rId4" xr:uid="{A9AAA663-FAE5-4CA2-9F5E-69EB7FA4F4B7}"/>
    <hyperlink ref="Q42" r:id="rId5" xr:uid="{EF3DDF31-F2ED-4D46-BB94-245294B62B19}"/>
    <hyperlink ref="Q44" r:id="rId6" xr:uid="{A45F066F-858E-4C01-BD64-181FD0FD8876}"/>
    <hyperlink ref="Q49" r:id="rId7" xr:uid="{EAC17165-73F7-4577-A00B-9D8A8D73FB05}"/>
    <hyperlink ref="Q61" r:id="rId8" xr:uid="{31D319DF-700A-4AE8-A385-36FCEB1EA398}"/>
    <hyperlink ref="Q73" r:id="rId9" xr:uid="{BA198FB4-B18E-44F1-B8DF-76F66340CAF4}"/>
    <hyperlink ref="Q80" r:id="rId10" xr:uid="{E322B8B0-095F-4E93-BC03-0F441F7D5245}"/>
    <hyperlink ref="Q77" r:id="rId11" xr:uid="{31A99A45-42D7-4B81-8080-0ADE2DAD766E}"/>
  </hyperlinks>
  <pageMargins left="0.7" right="0.7" top="0.75" bottom="0.75" header="0.3" footer="0.3"/>
  <pageSetup paperSize="119" orientation="landscape" r:id="rId1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FA905-AD09-4E5A-AD93-044D688EAEBE}">
  <dimension ref="B2:J71"/>
  <sheetViews>
    <sheetView zoomScale="115" zoomScaleNormal="115" workbookViewId="0">
      <selection activeCell="C28" sqref="C28"/>
    </sheetView>
  </sheetViews>
  <sheetFormatPr defaultRowHeight="14.4" x14ac:dyDescent="0.3"/>
  <cols>
    <col min="2" max="2" width="20.6640625" bestFit="1" customWidth="1"/>
    <col min="3" max="9" width="12.77734375" customWidth="1"/>
  </cols>
  <sheetData>
    <row r="2" spans="2:10" x14ac:dyDescent="0.3">
      <c r="C2" s="2" t="s">
        <v>22</v>
      </c>
      <c r="D2" s="9" t="s">
        <v>23</v>
      </c>
      <c r="E2" s="9" t="s">
        <v>24</v>
      </c>
      <c r="F2" s="2" t="s">
        <v>9</v>
      </c>
      <c r="H2" s="3" t="s">
        <v>8</v>
      </c>
      <c r="I2" s="4" t="s">
        <v>9</v>
      </c>
      <c r="J2" s="9" t="s">
        <v>15</v>
      </c>
    </row>
    <row r="3" spans="2:10" x14ac:dyDescent="0.3">
      <c r="B3" s="1" t="s">
        <v>20</v>
      </c>
      <c r="C3" s="10">
        <v>15</v>
      </c>
      <c r="F3" t="s">
        <v>0</v>
      </c>
      <c r="H3" s="6">
        <f>IF(ISBLANK(C3),"",IFERROR(ROUND(C3 / (
  1000 ^ INT(LOG(ABS(C3),1000)) ),3
),"-"))</f>
        <v>15</v>
      </c>
      <c r="I3" s="5" t="str">
        <f>IF(ISBLANK($F3),"",IFERROR(CHOOSE(
  INT(LOG(ABS(C3),1000)) + 6,"f","p","n","µ","m","","k","M","G","T","P"
) &amp; $F3,"-"))</f>
        <v>V</v>
      </c>
    </row>
    <row r="4" spans="2:10" x14ac:dyDescent="0.3">
      <c r="B4" s="1" t="s">
        <v>21</v>
      </c>
      <c r="C4" s="10">
        <v>55</v>
      </c>
      <c r="F4" t="s">
        <v>0</v>
      </c>
      <c r="H4" s="6">
        <f t="shared" ref="H4:H67" si="0">IF(ISBLANK(C4),"",IFERROR(ROUND(C4 / (
  1000 ^ INT(LOG(ABS(C4),1000)) ),3
),"-"))</f>
        <v>55</v>
      </c>
      <c r="I4" s="5" t="str">
        <f t="shared" ref="I4:I67" si="1">IF(ISBLANK($F4),"",IFERROR(CHOOSE(
  INT(LOG(ABS(C4),1000)) + 6,"f","p","n","µ","m","","k","M","G","T","P"
) &amp; $F4,"-"))</f>
        <v>V</v>
      </c>
    </row>
    <row r="5" spans="2:10" x14ac:dyDescent="0.3">
      <c r="B5" s="1" t="s">
        <v>25</v>
      </c>
      <c r="D5" s="10">
        <v>15</v>
      </c>
      <c r="E5" s="10">
        <v>55</v>
      </c>
      <c r="F5" t="s">
        <v>0</v>
      </c>
      <c r="H5" s="6" t="str">
        <f t="shared" si="0"/>
        <v/>
      </c>
      <c r="I5" s="5" t="str">
        <f t="shared" si="1"/>
        <v>-</v>
      </c>
    </row>
    <row r="6" spans="2:10" x14ac:dyDescent="0.3">
      <c r="B6" s="1" t="s">
        <v>10</v>
      </c>
      <c r="C6" s="10">
        <v>9</v>
      </c>
      <c r="F6" t="s">
        <v>1</v>
      </c>
      <c r="H6" s="6">
        <f t="shared" si="0"/>
        <v>9</v>
      </c>
      <c r="I6" s="5" t="str">
        <f t="shared" si="1"/>
        <v>A</v>
      </c>
    </row>
    <row r="7" spans="2:10" x14ac:dyDescent="0.3">
      <c r="H7" t="str">
        <f t="shared" si="0"/>
        <v/>
      </c>
      <c r="I7" t="str">
        <f t="shared" si="1"/>
        <v/>
      </c>
    </row>
    <row r="8" spans="2:10" x14ac:dyDescent="0.3">
      <c r="B8" s="1" t="s">
        <v>60</v>
      </c>
      <c r="C8" s="10">
        <v>12</v>
      </c>
      <c r="F8" t="s">
        <v>0</v>
      </c>
      <c r="H8" s="6">
        <f t="shared" si="0"/>
        <v>12</v>
      </c>
      <c r="I8" s="5" t="str">
        <f t="shared" si="1"/>
        <v>V</v>
      </c>
    </row>
    <row r="9" spans="2:10" x14ac:dyDescent="0.3">
      <c r="B9" s="16" t="s">
        <v>61</v>
      </c>
      <c r="C9" s="11">
        <v>4990</v>
      </c>
      <c r="F9" t="s">
        <v>11</v>
      </c>
      <c r="H9" s="7">
        <f t="shared" si="0"/>
        <v>4.99</v>
      </c>
      <c r="I9" s="8" t="str">
        <f t="shared" si="1"/>
        <v>kOhms</v>
      </c>
    </row>
    <row r="10" spans="2:10" x14ac:dyDescent="0.3">
      <c r="B10" s="16" t="s">
        <v>62</v>
      </c>
      <c r="C10" s="12">
        <f>$C$9/($C$8/0.8-1)</f>
        <v>356.42857142857144</v>
      </c>
      <c r="F10" t="s">
        <v>11</v>
      </c>
      <c r="H10" s="6">
        <f t="shared" si="0"/>
        <v>356.42899999999997</v>
      </c>
      <c r="I10" s="5" t="str">
        <f t="shared" si="1"/>
        <v>Ohms</v>
      </c>
    </row>
    <row r="11" spans="2:10" ht="15" thickBot="1" x14ac:dyDescent="0.35">
      <c r="B11" s="16" t="s">
        <v>63</v>
      </c>
      <c r="C11" s="10">
        <v>357</v>
      </c>
      <c r="F11" t="s">
        <v>11</v>
      </c>
      <c r="H11" s="7">
        <f t="shared" si="0"/>
        <v>357</v>
      </c>
      <c r="I11" s="8" t="str">
        <f t="shared" si="1"/>
        <v>Ohms</v>
      </c>
    </row>
    <row r="12" spans="2:10" ht="15.6" thickTop="1" thickBot="1" x14ac:dyDescent="0.35">
      <c r="B12" s="16" t="s">
        <v>64</v>
      </c>
      <c r="C12" s="13">
        <f>0.8*($C$9/$C$11+1)</f>
        <v>11.982072829131653</v>
      </c>
      <c r="F12" t="s">
        <v>0</v>
      </c>
      <c r="H12" s="6">
        <f t="shared" si="0"/>
        <v>11.981999999999999</v>
      </c>
      <c r="I12" s="5" t="str">
        <f t="shared" si="1"/>
        <v>V</v>
      </c>
    </row>
    <row r="13" spans="2:10" ht="15" thickTop="1" x14ac:dyDescent="0.3">
      <c r="H13" t="str">
        <f t="shared" si="0"/>
        <v/>
      </c>
      <c r="I13" t="str">
        <f t="shared" si="1"/>
        <v/>
      </c>
    </row>
    <row r="14" spans="2:10" x14ac:dyDescent="0.3">
      <c r="B14" s="1" t="s">
        <v>2</v>
      </c>
      <c r="C14" s="11">
        <v>230000</v>
      </c>
      <c r="F14" t="s">
        <v>3</v>
      </c>
      <c r="H14" s="6">
        <f t="shared" si="0"/>
        <v>230</v>
      </c>
      <c r="I14" s="5" t="str">
        <f t="shared" si="1"/>
        <v>kHz</v>
      </c>
    </row>
    <row r="15" spans="2:10" x14ac:dyDescent="0.3">
      <c r="B15" s="1" t="s">
        <v>4</v>
      </c>
      <c r="C15" s="12">
        <f>5200000000/C14 - 948</f>
        <v>21660.695652173912</v>
      </c>
      <c r="F15" t="s">
        <v>11</v>
      </c>
      <c r="H15" s="6">
        <f t="shared" si="0"/>
        <v>21.661000000000001</v>
      </c>
      <c r="I15" s="5" t="str">
        <f t="shared" si="1"/>
        <v>kOhms</v>
      </c>
    </row>
    <row r="16" spans="2:10" ht="15" thickBot="1" x14ac:dyDescent="0.35">
      <c r="B16" s="1" t="s">
        <v>6</v>
      </c>
      <c r="C16" s="11">
        <v>22100</v>
      </c>
      <c r="F16" t="s">
        <v>11</v>
      </c>
      <c r="H16" s="7">
        <f t="shared" si="0"/>
        <v>22.1</v>
      </c>
      <c r="I16" s="8" t="str">
        <f t="shared" si="1"/>
        <v>kOhms</v>
      </c>
    </row>
    <row r="17" spans="2:10" ht="15.6" thickTop="1" thickBot="1" x14ac:dyDescent="0.35">
      <c r="B17" s="1" t="s">
        <v>7</v>
      </c>
      <c r="C17" s="13">
        <f>5200000000/(C16+948)</f>
        <v>225616.10551891703</v>
      </c>
      <c r="F17" t="s">
        <v>3</v>
      </c>
      <c r="H17" s="6">
        <f t="shared" si="0"/>
        <v>225.61600000000001</v>
      </c>
      <c r="I17" s="5" t="str">
        <f t="shared" si="1"/>
        <v>kHz</v>
      </c>
    </row>
    <row r="18" spans="2:10" ht="15" thickTop="1" x14ac:dyDescent="0.3">
      <c r="H18" t="str">
        <f t="shared" si="0"/>
        <v/>
      </c>
      <c r="I18" t="str">
        <f t="shared" si="1"/>
        <v/>
      </c>
    </row>
    <row r="19" spans="2:10" x14ac:dyDescent="0.3">
      <c r="B19" s="1" t="s">
        <v>19</v>
      </c>
      <c r="C19" s="14">
        <v>0.4</v>
      </c>
      <c r="H19" s="6">
        <f t="shared" si="0"/>
        <v>400</v>
      </c>
      <c r="I19" s="5" t="str">
        <f t="shared" si="1"/>
        <v/>
      </c>
    </row>
    <row r="20" spans="2:10" x14ac:dyDescent="0.3">
      <c r="B20" s="1" t="s">
        <v>12</v>
      </c>
      <c r="C20" s="15">
        <f>$C$6*$C$19</f>
        <v>3.6</v>
      </c>
      <c r="F20" t="s">
        <v>1</v>
      </c>
      <c r="H20" s="6">
        <f t="shared" si="0"/>
        <v>3.6</v>
      </c>
      <c r="I20" s="5" t="str">
        <f t="shared" si="1"/>
        <v>A</v>
      </c>
    </row>
    <row r="21" spans="2:10" x14ac:dyDescent="0.3">
      <c r="B21" s="1" t="s">
        <v>13</v>
      </c>
      <c r="C21" s="12">
        <f>($C$8/($C$6*$C$19*$C$17))*(1-$C$8/$C$4)</f>
        <v>1.1550862470862472E-5</v>
      </c>
      <c r="F21" t="s">
        <v>14</v>
      </c>
      <c r="H21" s="6">
        <f t="shared" si="0"/>
        <v>11.551</v>
      </c>
      <c r="I21" s="5" t="str">
        <f t="shared" si="1"/>
        <v>µH</v>
      </c>
      <c r="J21" t="s">
        <v>16</v>
      </c>
    </row>
    <row r="22" spans="2:10" ht="15" thickBot="1" x14ac:dyDescent="0.35">
      <c r="B22" s="1" t="s">
        <v>17</v>
      </c>
      <c r="C22" s="11">
        <v>1.0000000000000001E-5</v>
      </c>
      <c r="F22" t="s">
        <v>14</v>
      </c>
      <c r="H22" s="7">
        <f t="shared" si="0"/>
        <v>10</v>
      </c>
      <c r="I22" s="8" t="str">
        <f t="shared" si="1"/>
        <v>µH</v>
      </c>
    </row>
    <row r="23" spans="2:10" ht="15.6" thickTop="1" thickBot="1" x14ac:dyDescent="0.35">
      <c r="B23" s="1" t="s">
        <v>18</v>
      </c>
      <c r="C23" s="13">
        <f>($C$8/($C$22*$C$14))*(1-$C$8/$C$4)</f>
        <v>4.079051383399209</v>
      </c>
      <c r="D23" s="13">
        <f>($C$8/($C$22*$C$14))*(1-$C$8/D5)</f>
        <v>1.0434782608695647</v>
      </c>
      <c r="E23" s="13">
        <f>($C$8/($C$22*$C$14))*(1-$C$8/E5)</f>
        <v>4.079051383399209</v>
      </c>
      <c r="F23" t="s">
        <v>1</v>
      </c>
      <c r="H23" s="6">
        <f t="shared" si="0"/>
        <v>4.0789999999999997</v>
      </c>
      <c r="I23" s="5" t="str">
        <f t="shared" si="1"/>
        <v>A</v>
      </c>
    </row>
    <row r="24" spans="2:10" ht="15" thickTop="1" x14ac:dyDescent="0.3">
      <c r="H24" t="str">
        <f t="shared" si="0"/>
        <v/>
      </c>
      <c r="I24" t="str">
        <f t="shared" si="1"/>
        <v/>
      </c>
    </row>
    <row r="25" spans="2:10" x14ac:dyDescent="0.3">
      <c r="B25" s="16" t="s">
        <v>26</v>
      </c>
      <c r="C25" s="14">
        <v>1.3</v>
      </c>
      <c r="H25" s="6">
        <f t="shared" si="0"/>
        <v>1.3</v>
      </c>
      <c r="I25" s="5" t="str">
        <f t="shared" si="1"/>
        <v/>
      </c>
    </row>
    <row r="26" spans="2:10" x14ac:dyDescent="0.3">
      <c r="B26" s="16" t="s">
        <v>29</v>
      </c>
      <c r="C26" s="12">
        <f>$C$6*$C$25</f>
        <v>11.700000000000001</v>
      </c>
      <c r="F26" t="s">
        <v>1</v>
      </c>
      <c r="H26" s="6">
        <f t="shared" si="0"/>
        <v>11.7</v>
      </c>
      <c r="I26" s="5" t="str">
        <f t="shared" si="1"/>
        <v>A</v>
      </c>
    </row>
    <row r="27" spans="2:10" x14ac:dyDescent="0.3">
      <c r="B27" s="16" t="s">
        <v>27</v>
      </c>
      <c r="C27" s="12">
        <f>0.12/(($C$6*$C$25)+(($C$8*1)/($C$14*$C$22))-($D$23/2))</f>
        <v>7.3190135242641192E-3</v>
      </c>
      <c r="F27" t="s">
        <v>11</v>
      </c>
      <c r="H27" s="6">
        <f t="shared" si="0"/>
        <v>7.319</v>
      </c>
      <c r="I27" s="5" t="str">
        <f t="shared" si="1"/>
        <v>mOhms</v>
      </c>
      <c r="J27" t="s">
        <v>28</v>
      </c>
    </row>
    <row r="28" spans="2:10" ht="15" thickBot="1" x14ac:dyDescent="0.35">
      <c r="B28" s="16" t="s">
        <v>30</v>
      </c>
      <c r="C28" s="11">
        <f>1/(1/0.1 + (1/0.008))</f>
        <v>7.4074074074074077E-3</v>
      </c>
      <c r="F28" t="s">
        <v>11</v>
      </c>
      <c r="H28" s="7">
        <f t="shared" si="0"/>
        <v>7.407</v>
      </c>
      <c r="I28" s="8" t="str">
        <f t="shared" si="1"/>
        <v>mOhms</v>
      </c>
      <c r="J28" t="s">
        <v>33</v>
      </c>
    </row>
    <row r="29" spans="2:10" ht="15.6" thickTop="1" thickBot="1" x14ac:dyDescent="0.35">
      <c r="B29" s="16" t="s">
        <v>31</v>
      </c>
      <c r="C29" s="13">
        <f>0.12/C28+$C$4*0.0000001/$C$22</f>
        <v>16.75</v>
      </c>
      <c r="F29" t="s">
        <v>1</v>
      </c>
      <c r="H29" s="6">
        <f t="shared" si="0"/>
        <v>16.75</v>
      </c>
      <c r="I29" s="5" t="str">
        <f t="shared" si="1"/>
        <v>A</v>
      </c>
      <c r="J29" t="s">
        <v>32</v>
      </c>
    </row>
    <row r="30" spans="2:10" ht="15" thickTop="1" x14ac:dyDescent="0.3">
      <c r="B30" s="16" t="s">
        <v>34</v>
      </c>
      <c r="C30" s="12">
        <f>(1-$C$8/$C$4)*$C$6^2*$C$28</f>
        <v>0.46909090909090911</v>
      </c>
      <c r="F30" t="s">
        <v>35</v>
      </c>
      <c r="H30" s="7">
        <f t="shared" si="0"/>
        <v>469.09100000000001</v>
      </c>
      <c r="I30" s="8" t="str">
        <f t="shared" si="1"/>
        <v>mW</v>
      </c>
    </row>
    <row r="31" spans="2:10" x14ac:dyDescent="0.3">
      <c r="H31" t="str">
        <f t="shared" si="0"/>
        <v/>
      </c>
      <c r="I31" t="str">
        <f t="shared" si="1"/>
        <v/>
      </c>
    </row>
    <row r="32" spans="2:10" x14ac:dyDescent="0.3">
      <c r="B32" s="16" t="s">
        <v>36</v>
      </c>
      <c r="C32" s="11">
        <v>8.1999999999999996E-10</v>
      </c>
      <c r="F32" t="s">
        <v>37</v>
      </c>
      <c r="H32" s="7">
        <f t="shared" si="0"/>
        <v>820</v>
      </c>
      <c r="I32" s="8" t="str">
        <f t="shared" si="1"/>
        <v>pF</v>
      </c>
      <c r="J32" t="s">
        <v>39</v>
      </c>
    </row>
    <row r="33" spans="2:10" x14ac:dyDescent="0.3">
      <c r="B33" s="16" t="s">
        <v>38</v>
      </c>
      <c r="C33" s="12">
        <f>$C$22/(1*$C$32*$C$28*10)</f>
        <v>164634.14634146341</v>
      </c>
      <c r="F33" s="18" t="s">
        <v>11</v>
      </c>
      <c r="H33" s="6">
        <f t="shared" si="0"/>
        <v>164.63399999999999</v>
      </c>
      <c r="I33" s="5" t="str">
        <f t="shared" si="1"/>
        <v>kOhms</v>
      </c>
      <c r="J33" t="s">
        <v>40</v>
      </c>
    </row>
    <row r="34" spans="2:10" x14ac:dyDescent="0.3">
      <c r="B34" s="16" t="s">
        <v>41</v>
      </c>
      <c r="C34" s="11">
        <v>165000</v>
      </c>
      <c r="F34" s="18" t="s">
        <v>11</v>
      </c>
      <c r="H34" s="7">
        <f t="shared" si="0"/>
        <v>165</v>
      </c>
      <c r="I34" s="8" t="str">
        <f t="shared" si="1"/>
        <v>kOhms</v>
      </c>
    </row>
    <row r="35" spans="2:10" x14ac:dyDescent="0.3">
      <c r="H35" t="str">
        <f t="shared" si="0"/>
        <v/>
      </c>
      <c r="I35" t="str">
        <f t="shared" si="1"/>
        <v/>
      </c>
    </row>
    <row r="36" spans="2:10" x14ac:dyDescent="0.3">
      <c r="B36" s="16" t="s">
        <v>42</v>
      </c>
      <c r="C36" s="10">
        <v>2</v>
      </c>
      <c r="F36" t="s">
        <v>0</v>
      </c>
      <c r="H36">
        <f t="shared" si="0"/>
        <v>2</v>
      </c>
      <c r="I36" t="str">
        <f t="shared" si="1"/>
        <v>V</v>
      </c>
    </row>
    <row r="37" spans="2:10" x14ac:dyDescent="0.3">
      <c r="B37" s="16" t="s">
        <v>49</v>
      </c>
      <c r="C37" s="10">
        <v>14</v>
      </c>
      <c r="F37" t="s">
        <v>0</v>
      </c>
      <c r="H37">
        <f t="shared" si="0"/>
        <v>14</v>
      </c>
      <c r="I37" t="str">
        <f t="shared" si="1"/>
        <v>V</v>
      </c>
    </row>
    <row r="38" spans="2:10" x14ac:dyDescent="0.3">
      <c r="B38" s="16" t="s">
        <v>43</v>
      </c>
      <c r="C38" s="15">
        <f>C36/0.00002</f>
        <v>99999.999999999985</v>
      </c>
      <c r="F38" t="s">
        <v>11</v>
      </c>
      <c r="H38" s="6">
        <f t="shared" si="0"/>
        <v>100</v>
      </c>
      <c r="I38" s="5" t="str">
        <f t="shared" si="1"/>
        <v>kOhms</v>
      </c>
      <c r="J38" t="s">
        <v>44</v>
      </c>
    </row>
    <row r="39" spans="2:10" x14ac:dyDescent="0.3">
      <c r="B39" s="16" t="s">
        <v>45</v>
      </c>
      <c r="C39" s="11">
        <v>100000</v>
      </c>
      <c r="F39" t="s">
        <v>11</v>
      </c>
      <c r="H39" s="7">
        <f t="shared" si="0"/>
        <v>100</v>
      </c>
      <c r="I39" s="8" t="str">
        <f t="shared" si="1"/>
        <v>kOhms</v>
      </c>
    </row>
    <row r="40" spans="2:10" x14ac:dyDescent="0.3">
      <c r="B40" s="16" t="s">
        <v>46</v>
      </c>
      <c r="C40" s="12">
        <f>1.25*$C$39/($C$37-1.25)</f>
        <v>9803.9215686274511</v>
      </c>
      <c r="F40" t="s">
        <v>11</v>
      </c>
      <c r="H40" s="6">
        <f t="shared" si="0"/>
        <v>9.8040000000000003</v>
      </c>
      <c r="I40" s="5" t="str">
        <f t="shared" si="1"/>
        <v>kOhms</v>
      </c>
      <c r="J40" t="s">
        <v>47</v>
      </c>
    </row>
    <row r="41" spans="2:10" ht="15" thickBot="1" x14ac:dyDescent="0.35">
      <c r="B41" s="16" t="s">
        <v>48</v>
      </c>
      <c r="C41" s="11">
        <v>9760</v>
      </c>
      <c r="F41" t="s">
        <v>11</v>
      </c>
      <c r="H41" s="7">
        <f t="shared" si="0"/>
        <v>9.76</v>
      </c>
      <c r="I41" s="8" t="str">
        <f t="shared" si="1"/>
        <v>kOhms</v>
      </c>
    </row>
    <row r="42" spans="2:10" ht="15.6" thickTop="1" thickBot="1" x14ac:dyDescent="0.35">
      <c r="B42" s="16" t="s">
        <v>50</v>
      </c>
      <c r="C42" s="13">
        <f>1.25*($C$39+$C$41)/$C$41</f>
        <v>14.057377049180328</v>
      </c>
      <c r="F42" t="s">
        <v>0</v>
      </c>
      <c r="H42" s="6">
        <f t="shared" si="0"/>
        <v>14.057</v>
      </c>
      <c r="I42" s="5" t="str">
        <f t="shared" si="1"/>
        <v>V</v>
      </c>
    </row>
    <row r="43" spans="2:10" ht="15" thickTop="1" x14ac:dyDescent="0.3">
      <c r="H43" t="str">
        <f t="shared" si="0"/>
        <v/>
      </c>
      <c r="I43" t="str">
        <f t="shared" si="1"/>
        <v/>
      </c>
    </row>
    <row r="44" spans="2:10" x14ac:dyDescent="0.3">
      <c r="B44" s="16" t="s">
        <v>56</v>
      </c>
      <c r="C44" s="10">
        <v>0.42</v>
      </c>
      <c r="F44" t="s">
        <v>0</v>
      </c>
      <c r="H44" s="6">
        <f t="shared" si="0"/>
        <v>420</v>
      </c>
      <c r="I44" s="5" t="str">
        <f t="shared" si="1"/>
        <v>mV</v>
      </c>
    </row>
    <row r="45" spans="2:10" x14ac:dyDescent="0.3">
      <c r="B45" s="16" t="s">
        <v>57</v>
      </c>
      <c r="C45" s="12">
        <f>$C$6/(4*$C$14*$C$44)</f>
        <v>2.329192546583851E-5</v>
      </c>
      <c r="F45" t="s">
        <v>37</v>
      </c>
      <c r="H45" s="6">
        <f t="shared" si="0"/>
        <v>23.292000000000002</v>
      </c>
      <c r="I45" s="5" t="str">
        <f t="shared" si="1"/>
        <v>µF</v>
      </c>
    </row>
    <row r="46" spans="2:10" ht="15" thickBot="1" x14ac:dyDescent="0.35">
      <c r="B46" s="16" t="s">
        <v>58</v>
      </c>
      <c r="C46" s="10">
        <f>7*0.0000033</f>
        <v>2.3100000000000002E-5</v>
      </c>
      <c r="F46" t="s">
        <v>37</v>
      </c>
      <c r="H46" s="7">
        <f t="shared" si="0"/>
        <v>23.1</v>
      </c>
      <c r="I46" s="8" t="str">
        <f t="shared" si="1"/>
        <v>µF</v>
      </c>
    </row>
    <row r="47" spans="2:10" ht="15.6" thickTop="1" thickBot="1" x14ac:dyDescent="0.35">
      <c r="B47" s="16" t="s">
        <v>59</v>
      </c>
      <c r="C47" s="13">
        <f>$C$6/(4*$C$14*$C$46)</f>
        <v>0.42348955392433646</v>
      </c>
      <c r="F47" t="s">
        <v>0</v>
      </c>
      <c r="H47" s="6">
        <f t="shared" si="0"/>
        <v>423.49</v>
      </c>
      <c r="I47" s="17" t="str">
        <f t="shared" si="1"/>
        <v>mV</v>
      </c>
    </row>
    <row r="48" spans="2:10" ht="15" thickTop="1" x14ac:dyDescent="0.3">
      <c r="H48" t="str">
        <f t="shared" si="0"/>
        <v/>
      </c>
      <c r="I48" t="str">
        <f t="shared" si="1"/>
        <v/>
      </c>
    </row>
    <row r="49" spans="2:10" x14ac:dyDescent="0.3">
      <c r="B49" s="16" t="s">
        <v>51</v>
      </c>
      <c r="C49" s="11">
        <v>8.1716999999999998E-2</v>
      </c>
      <c r="F49" t="s">
        <v>0</v>
      </c>
      <c r="H49" s="6">
        <f t="shared" si="0"/>
        <v>81.716999999999999</v>
      </c>
      <c r="I49" s="5" t="str">
        <f t="shared" si="1"/>
        <v>mV</v>
      </c>
      <c r="J49" t="s">
        <v>55</v>
      </c>
    </row>
    <row r="50" spans="2:10" x14ac:dyDescent="0.3">
      <c r="B50" s="16" t="s">
        <v>77</v>
      </c>
      <c r="C50" s="11">
        <v>0.02</v>
      </c>
      <c r="F50" t="s">
        <v>11</v>
      </c>
      <c r="H50" s="6">
        <f t="shared" si="0"/>
        <v>20</v>
      </c>
      <c r="I50" s="5" t="str">
        <f t="shared" si="1"/>
        <v>mOhms</v>
      </c>
    </row>
    <row r="51" spans="2:10" x14ac:dyDescent="0.3">
      <c r="B51" s="16" t="s">
        <v>52</v>
      </c>
      <c r="C51" s="12">
        <f>1/(8*$C$14*SQRT(($C$49/$C$23)^2-$C$50^2))</f>
        <v>4.7046314820545215E-4</v>
      </c>
      <c r="F51" t="s">
        <v>37</v>
      </c>
      <c r="H51" s="6">
        <f t="shared" si="0"/>
        <v>470.46300000000002</v>
      </c>
      <c r="I51" s="5" t="str">
        <f t="shared" si="1"/>
        <v>µF</v>
      </c>
    </row>
    <row r="52" spans="2:10" x14ac:dyDescent="0.3">
      <c r="B52" s="16" t="s">
        <v>53</v>
      </c>
      <c r="C52" s="11">
        <v>4.6999999999999999E-4</v>
      </c>
      <c r="F52" t="s">
        <v>37</v>
      </c>
      <c r="H52" s="7">
        <f t="shared" si="0"/>
        <v>470</v>
      </c>
      <c r="I52" s="8" t="str">
        <f t="shared" si="1"/>
        <v>µF</v>
      </c>
    </row>
    <row r="53" spans="2:10" ht="15" thickBot="1" x14ac:dyDescent="0.35">
      <c r="B53" s="16" t="s">
        <v>76</v>
      </c>
      <c r="C53" s="11">
        <v>0.02</v>
      </c>
      <c r="F53" t="s">
        <v>11</v>
      </c>
      <c r="H53" s="7">
        <f t="shared" si="0"/>
        <v>20</v>
      </c>
      <c r="I53" s="8" t="str">
        <f t="shared" si="1"/>
        <v>mOhms</v>
      </c>
    </row>
    <row r="54" spans="2:10" ht="15.6" thickTop="1" thickBot="1" x14ac:dyDescent="0.35">
      <c r="B54" s="16" t="s">
        <v>54</v>
      </c>
      <c r="C54" s="13">
        <f>$C$23*SQRT($C$53^2+(1/(8*$C$14*$C$52))^2)</f>
        <v>8.1717267888712947E-2</v>
      </c>
      <c r="F54" t="s">
        <v>0</v>
      </c>
      <c r="H54" s="6">
        <f t="shared" si="0"/>
        <v>81.716999999999999</v>
      </c>
      <c r="I54" s="5" t="str">
        <f t="shared" si="1"/>
        <v>mV</v>
      </c>
    </row>
    <row r="55" spans="2:10" ht="15" thickTop="1" x14ac:dyDescent="0.3">
      <c r="H55" t="str">
        <f t="shared" si="0"/>
        <v/>
      </c>
      <c r="I55" t="str">
        <f t="shared" si="1"/>
        <v/>
      </c>
    </row>
    <row r="56" spans="2:10" x14ac:dyDescent="0.3">
      <c r="B56" s="16" t="s">
        <v>65</v>
      </c>
      <c r="C56" s="10">
        <v>10</v>
      </c>
      <c r="H56" s="6">
        <f t="shared" si="0"/>
        <v>10</v>
      </c>
      <c r="I56" s="5" t="str">
        <f t="shared" si="1"/>
        <v/>
      </c>
    </row>
    <row r="57" spans="2:10" x14ac:dyDescent="0.3">
      <c r="B57" s="16" t="s">
        <v>66</v>
      </c>
      <c r="C57" s="12">
        <f>$C$14/$C$56</f>
        <v>23000</v>
      </c>
      <c r="F57" t="s">
        <v>3</v>
      </c>
      <c r="H57" s="6">
        <f t="shared" si="0"/>
        <v>23</v>
      </c>
      <c r="I57" s="5" t="str">
        <f t="shared" si="1"/>
        <v>kHz</v>
      </c>
    </row>
    <row r="58" spans="2:10" x14ac:dyDescent="0.3">
      <c r="B58" s="16" t="s">
        <v>67</v>
      </c>
      <c r="C58" s="12">
        <f>2*PI()*$C$28*10*$C$52*$C$9*$C$57</f>
        <v>25105.700260840778</v>
      </c>
      <c r="F58" t="s">
        <v>11</v>
      </c>
      <c r="H58" s="6">
        <f t="shared" si="0"/>
        <v>25.106000000000002</v>
      </c>
      <c r="I58" s="17" t="str">
        <f t="shared" si="1"/>
        <v>kOhms</v>
      </c>
      <c r="J58" t="s">
        <v>68</v>
      </c>
    </row>
    <row r="59" spans="2:10" ht="15" thickBot="1" x14ac:dyDescent="0.35">
      <c r="B59" s="16" t="s">
        <v>69</v>
      </c>
      <c r="C59" s="11">
        <v>27500</v>
      </c>
      <c r="F59" t="s">
        <v>11</v>
      </c>
      <c r="H59" s="7">
        <f t="shared" si="0"/>
        <v>27.5</v>
      </c>
      <c r="I59" s="8" t="str">
        <f t="shared" si="1"/>
        <v>kOhms</v>
      </c>
    </row>
    <row r="60" spans="2:10" ht="15.6" thickTop="1" thickBot="1" x14ac:dyDescent="0.35">
      <c r="B60" s="16" t="s">
        <v>70</v>
      </c>
      <c r="C60" s="13">
        <f>$C$59/(2*PI()*$C$28*10*$C$52*$C$9)</f>
        <v>25193.481696527586</v>
      </c>
      <c r="F60" t="s">
        <v>3</v>
      </c>
      <c r="H60" s="6">
        <f t="shared" si="0"/>
        <v>25.193000000000001</v>
      </c>
      <c r="I60" s="17" t="str">
        <f t="shared" si="1"/>
        <v>kHz</v>
      </c>
    </row>
    <row r="61" spans="2:10" ht="15" thickTop="1" x14ac:dyDescent="0.3">
      <c r="H61" t="str">
        <f t="shared" si="0"/>
        <v/>
      </c>
      <c r="I61" t="str">
        <f t="shared" si="1"/>
        <v/>
      </c>
    </row>
    <row r="62" spans="2:10" x14ac:dyDescent="0.3">
      <c r="B62" s="16" t="s">
        <v>71</v>
      </c>
      <c r="C62" s="12">
        <f>($C$8/$C$6)*$C$52/$C$59</f>
        <v>2.2787878787878786E-8</v>
      </c>
      <c r="F62" t="s">
        <v>37</v>
      </c>
      <c r="H62" s="6">
        <f t="shared" si="0"/>
        <v>22.788</v>
      </c>
      <c r="I62" s="17" t="str">
        <f t="shared" si="1"/>
        <v>nF</v>
      </c>
      <c r="J62" t="s">
        <v>68</v>
      </c>
    </row>
    <row r="63" spans="2:10" x14ac:dyDescent="0.3">
      <c r="B63" s="16" t="s">
        <v>72</v>
      </c>
      <c r="C63" s="11">
        <v>2.4999999999999999E-8</v>
      </c>
      <c r="F63" t="s">
        <v>37</v>
      </c>
      <c r="H63" s="7">
        <f t="shared" si="0"/>
        <v>25</v>
      </c>
      <c r="I63" s="8" t="str">
        <f t="shared" si="1"/>
        <v>nF</v>
      </c>
    </row>
    <row r="64" spans="2:10" x14ac:dyDescent="0.3">
      <c r="H64" t="str">
        <f t="shared" si="0"/>
        <v/>
      </c>
      <c r="I64" t="str">
        <f t="shared" si="1"/>
        <v/>
      </c>
    </row>
    <row r="65" spans="2:10" x14ac:dyDescent="0.3">
      <c r="B65" s="16" t="s">
        <v>73</v>
      </c>
      <c r="C65" s="12">
        <f>(($C$53/2)*$C$52*$C$63)/($C$59*$C$63-($C$53/2)*$C$52)</f>
        <v>1.720855301698887E-10</v>
      </c>
      <c r="F65" t="s">
        <v>37</v>
      </c>
      <c r="H65" s="6">
        <f t="shared" si="0"/>
        <v>172.08600000000001</v>
      </c>
      <c r="I65" s="17" t="str">
        <f t="shared" si="1"/>
        <v>pF</v>
      </c>
      <c r="J65" t="s">
        <v>75</v>
      </c>
    </row>
    <row r="66" spans="2:10" x14ac:dyDescent="0.3">
      <c r="B66" s="16" t="s">
        <v>74</v>
      </c>
      <c r="C66" s="11">
        <v>1.8E-10</v>
      </c>
      <c r="F66" t="s">
        <v>37</v>
      </c>
      <c r="H66" s="7">
        <f t="shared" si="0"/>
        <v>180</v>
      </c>
      <c r="I66" s="8" t="str">
        <f t="shared" si="1"/>
        <v>pF</v>
      </c>
    </row>
    <row r="67" spans="2:10" x14ac:dyDescent="0.3">
      <c r="H67" t="str">
        <f t="shared" si="0"/>
        <v/>
      </c>
      <c r="I67" t="str">
        <f t="shared" si="1"/>
        <v/>
      </c>
    </row>
    <row r="68" spans="2:10" x14ac:dyDescent="0.3">
      <c r="B68" s="16" t="s">
        <v>78</v>
      </c>
      <c r="C68" s="12">
        <f>1/(2*PI()*$C$52*$C$8/$C$6)</f>
        <v>253.97065387004579</v>
      </c>
      <c r="F68" t="s">
        <v>3</v>
      </c>
      <c r="H68" s="6">
        <f t="shared" ref="H68:H71" si="2">IF(ISBLANK(C68),"",IFERROR(ROUND(C68 / (
  1000 ^ INT(LOG(ABS(C68),1000)) ),3
),"-"))</f>
        <v>253.971</v>
      </c>
      <c r="I68" s="17" t="str">
        <f t="shared" ref="I68:I71" si="3">IF(ISBLANK($F68),"",IFERROR(CHOOSE(
  INT(LOG(ABS(C68),1000)) + 6,"f","p","n","µ","m","","k","M","G","T","P"
) &amp; $F68,"-"))</f>
        <v>Hz</v>
      </c>
    </row>
    <row r="69" spans="2:10" x14ac:dyDescent="0.3">
      <c r="B69" s="16" t="s">
        <v>79</v>
      </c>
      <c r="C69" s="12">
        <f>1/(2*PI()*$C$59*$C$63)</f>
        <v>231.49809904275691</v>
      </c>
      <c r="F69" t="s">
        <v>3</v>
      </c>
      <c r="H69" s="6">
        <f t="shared" si="2"/>
        <v>231.49799999999999</v>
      </c>
      <c r="I69" s="17" t="str">
        <f t="shared" si="3"/>
        <v>Hz</v>
      </c>
    </row>
    <row r="70" spans="2:10" x14ac:dyDescent="0.3">
      <c r="B70" s="16" t="s">
        <v>80</v>
      </c>
      <c r="C70" s="12">
        <f>1/(2*PI()*$C$59*(1/(1/$C$66+1/$C$63)))</f>
        <v>32384.011854981207</v>
      </c>
      <c r="F70" t="s">
        <v>3</v>
      </c>
      <c r="H70" s="6">
        <f t="shared" si="2"/>
        <v>32.384</v>
      </c>
      <c r="I70" s="17" t="str">
        <f t="shared" si="3"/>
        <v>kHz</v>
      </c>
    </row>
    <row r="71" spans="2:10" x14ac:dyDescent="0.3">
      <c r="B71" s="16" t="s">
        <v>81</v>
      </c>
      <c r="C71" s="12">
        <f>1/($C$53*$C$52)</f>
        <v>106382.97872340426</v>
      </c>
      <c r="F71" t="s">
        <v>3</v>
      </c>
      <c r="H71" s="6">
        <f t="shared" si="2"/>
        <v>106.383</v>
      </c>
      <c r="I71" s="17" t="str">
        <f t="shared" si="3"/>
        <v>kHz</v>
      </c>
    </row>
  </sheetData>
  <pageMargins left="0.7" right="0.7" top="0.75" bottom="0.75" header="0.3" footer="0.3"/>
  <pageSetup paperSize="11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Design +12V; L=15uH</vt:lpstr>
      <vt:lpstr>Design +5V; L=15uH</vt:lpstr>
      <vt:lpstr>Design +5V; L=15uH 0.25A</vt:lpstr>
      <vt:lpstr>Design +12V; L=10uH</vt:lpstr>
      <vt:lpstr>LM5117 Datasheet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Berrington, Robert III</dc:creator>
  <cp:lastModifiedBy>Berrington, Robert III</cp:lastModifiedBy>
  <dcterms:created xsi:type="dcterms:W3CDTF">2015-06-05T18:17:20Z</dcterms:created>
  <dcterms:modified xsi:type="dcterms:W3CDTF">2021-09-24T17:57:19Z</dcterms:modified>
</cp:coreProperties>
</file>