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Design Calculator" sheetId="2" r:id="rId5"/>
    <sheet state="hidden" name="Device Parmaters" sheetId="3" r:id="rId6"/>
    <sheet state="hidden" name="Equations" sheetId="4" r:id="rId7"/>
    <sheet state="hidden" name="Start_up" sheetId="5" r:id="rId8"/>
    <sheet state="hidden" name="SOA" sheetId="6" r:id="rId9"/>
    <sheet state="hidden" name="dv_dt_recommendations" sheetId="7" r:id="rId10"/>
  </sheets>
  <definedNames>
    <definedName name="TINSERTMAX">#REF!</definedName>
    <definedName name="TSTARTNOM">#REF!</definedName>
    <definedName localSheetId="5" name="solver_adj">#REF!</definedName>
    <definedName name="RDSON">'Design Calculator'!$AN$53</definedName>
    <definedName name="TJMAX">'Design Calculator'!$AN$54</definedName>
    <definedName name="CLNOM">Equations!$F$25</definedName>
    <definedName name="CTIMER">#REF!</definedName>
    <definedName name="Rs">'Design Calculator'!$F$40</definedName>
    <definedName name="I_Cout_ss">Equations!$F$66</definedName>
    <definedName name="CLNOM_Threshold">Equations!$E$16</definedName>
    <definedName name="yesno">'Design Calculator'!$AS$8:$AS$9</definedName>
    <definedName name="PLIMMAX">#REF!</definedName>
    <definedName name="TINSERTMIN">#REF!</definedName>
    <definedName name="NUMFETS">'Design Calculator'!$F$52</definedName>
    <definedName name="TAMB">'Design Calculator'!$F$32</definedName>
    <definedName name="MaxFETPW">#REF!</definedName>
    <definedName name="TSTARTMAX">#REF!</definedName>
    <definedName name="CLMIN_Threshold">Equations!$E$15</definedName>
    <definedName name="VINMIN">'Design Calculator'!$F$27</definedName>
    <definedName name="FETPDISS">'Design Calculator'!$F$60</definedName>
    <definedName name="ss_rate">Equations!$F$62</definedName>
    <definedName name="Tfault">'Design Calculator'!$F$77</definedName>
    <definedName name="TSTARTMIN">#REF!</definedName>
    <definedName name="RDIV2">'Design Calculator'!$F$44</definedName>
    <definedName name="PLIMNOM">#REF!</definedName>
    <definedName name="RDIV1">'Design Calculator'!$F$43</definedName>
    <definedName name="PLIMMIN">#REF!</definedName>
    <definedName name="CLMAX">Equations!$F$26</definedName>
    <definedName name="TINSERT">#REF!</definedName>
    <definedName name="COUTMAX">'Design Calculator'!$F$31</definedName>
    <definedName name="CLMIN">Equations!$F$24</definedName>
    <definedName name="VINNOM">'Design Calculator'!$F$28</definedName>
    <definedName name="CLMAX_Threshold">Equations!$E$17</definedName>
    <definedName name="ThetaJA">'Design Calculator'!$F$51</definedName>
    <definedName name="RPWR">'Design Calculator'!$F$66</definedName>
    <definedName name="RsEFF">Equations!$F$23</definedName>
    <definedName localSheetId="5" name="solver_opt">#REF!</definedName>
    <definedName name="IOUTMAX">'Design Calculator'!$F$30</definedName>
    <definedName name="TJ">'Design Calculator'!$F$61</definedName>
    <definedName name="Tfaultmax">#REF!</definedName>
    <definedName name="VINMAX">'Design Calculator'!$F$29</definedName>
    <definedName name="RsMAX">'Design Calculator'!$F$38</definedName>
  </definedNames>
  <calcPr/>
  <extLst>
    <ext uri="GoogleSheetsCustomDataVersion1">
      <go:sheetsCustomData xmlns:go="http://customooxmlschemas.google.com/" r:id="rId11" roundtripDataSignature="AMtx7mjWZmZXT0U33znaUAxs9w4b+WwEGA=="/>
    </ext>
  </extLst>
</workbook>
</file>

<file path=xl/comments1.xml><?xml version="1.0" encoding="utf-8"?>
<comments xmlns:r="http://schemas.openxmlformats.org/officeDocument/2006/relationships" xmlns="http://schemas.openxmlformats.org/spreadsheetml/2006/main">
  <authors>
    <author/>
  </authors>
  <commentList>
    <comment authorId="0" ref="F61">
      <text>
        <t xml:space="preserve">======
ID#AAAAV39cmB0
    (2022-02-24 11:04:29)
If FET temperature is too high, increase the # of FETs, reduce the load, or reduce the RθJA by adding more heat sinking to MOSFETs.</t>
      </text>
    </comment>
    <comment authorId="0" ref="F46">
      <text>
        <t xml:space="preserve">======
ID#AAAAV39cmBw
    (2022-02-24 11:04:29)
Ensure that the minimum current limit is above maximum load.</t>
      </text>
    </comment>
    <comment authorId="0" ref="F40">
      <text>
        <t xml:space="preserve">======
ID#AAAAV39cmBs
    (2022-02-24 11:04:29)
When using an external resistor divider, Rs must be larger than the targeted Rs,eff.  Pick the next larger available Rs.  
When not using an external resistor divider, pick the next smallest available sense resistor.</t>
      </text>
    </comment>
    <comment authorId="0" ref="F86">
      <text>
        <t xml:space="preserve">======
ID#AAAAV39cmBk
    (2022-02-24 11:04:29)
A margin of &gt;1.1 is required and a margin of &gt;1.3 is recommended to accout for the variation in the gate current. 
Reduce dv/dt rate to reduce inrush current and increase SOA margin</t>
      </text>
    </comment>
    <comment authorId="0" ref="F41">
      <text>
        <t xml:space="preserve">======
ID#AAAAV39cmBg
    (2022-02-24 11:04:29)
Cell turns Red if 
When using an external resistor divider, Rs must be larger than the targeted Rs,eff.  Pick the next larger available Rs.</t>
      </text>
    </comment>
    <comment authorId="0" ref="F82">
      <text>
        <t xml:space="preserve">======
ID#AAAAV39cmBc
    (2022-02-24 11:04:29)
Ensure that this is lower than max ss slew rate in the cell above</t>
      </text>
    </comment>
    <comment authorId="0" ref="F48">
      <text>
        <t xml:space="preserve">======
ID#AAAAV39cmBY
    (2022-02-24 11:04:29)
Ensure that the minimum current limit is above maximum load.</t>
      </text>
    </comment>
    <comment authorId="0" ref="I66">
      <text>
        <t xml:space="preserve">======
ID#AAAAV39cmBU
3 Parameters    (2022-02-24 11:04:29)
Step 1: Max Ambient Operating Temperature 
Step 3: Estimated MOSFET RQJA
Step 3: FET Power Dissipation at full load 
**This includes air flow</t>
      </text>
    </comment>
    <comment authorId="0" ref="F79">
      <text>
        <t xml:space="preserve">======
ID#AAAAV39cmBQ
    (2022-02-24 11:04:29)
This is used to determine the maximum FET case temperature before start-up. 
A "yes" here means that a user may run a board at full current, then unplug the board and plug it back in. In that the FET is hot before hot-plug. 
If this is a "no".  FET temperature just equals the ambient temperature.</t>
      </text>
    </comment>
    <comment authorId="0" ref="F69">
      <text>
        <t xml:space="preserve">======
ID#AAAAV39cmBM
    (2022-02-24 11:04:29)
Select if the load will draw current during start-up. 
For no Load, choose constant current and set to zero</t>
      </text>
    </comment>
    <comment authorId="0" ref="F74">
      <text>
        <t xml:space="preserve">======
ID#AAAAV39cmBI
    (2022-02-24 11:04:29)
TO ensure start-up the faul time out must be longer than the start-up time. It is recommended to choose a fault timer that is larger than the typical start-time to account for variations in Plim, timer current, and timer capacitance.</t>
      </text>
    </comment>
    <comment authorId="0" ref="F71">
      <text>
        <t xml:space="preserve">======
ID#AAAAV39cmBE
    (2022-02-24 11:04:29)
Yes or No.  Default is No.  However, DV/DT control can be useful in high current applications or applications were COUT is large.
If SOA margin is poor with a PLIM start-up, switching to a soft start can alleviate this problem.</t>
      </text>
    </comment>
    <comment authorId="0" ref="F81">
      <text>
        <t xml:space="preserve">======
ID#AAAAV39cmBA
    (2022-02-24 11:04:29)
If these cells are red, there is no suitable slew rate for keeping FET whithin SOA. 
Reduce load at start-up or pick FET with better SOA.</t>
      </text>
    </comment>
    <comment authorId="0" ref="F73">
      <text>
        <t xml:space="preserve">======
ID#AAAAV39cmA8
    (2022-02-24 11:04:29)
If IFET - ILOAD margin is too low, there may be start-up issues due to variation in power limit or load profile.  A margin &gt; 25% is recommended. 
If margin is &lt; 25%, the power limit should be increased or the load should be kept completely OFF during start-up.</t>
      </text>
    </comment>
    <comment authorId="0" ref="F92">
      <text>
        <t xml:space="preserve">======
ID#AAAAV39cmA4
    (2022-02-24 11:04:29)
This threshold must be between 2.9V and 17V.</t>
      </text>
    </comment>
    <comment authorId="0" ref="F63">
      <text>
        <t xml:space="preserve">======
ID#AAAAV39cmA0
    (2022-02-24 11:04:29)
Usually this can be set to PLIM,MIN.  If a load is present during start-up a higher Plim, may be preferred.</t>
      </text>
    </comment>
    <comment authorId="0" ref="F85">
      <text>
        <t xml:space="preserve">======
ID#AAAAV39cmAw
    (2022-02-24 11:04:29)
Ensure that this is lower than max ss slew rate.</t>
      </text>
    </comment>
    <comment authorId="0" ref="F29">
      <text>
        <t xml:space="preserve">======
ID#AAAAV39cmAs
    (2022-02-24 11:04:29)
The maximum system voltage must be no greater than 80V.</t>
      </text>
    </comment>
    <comment authorId="0" ref="F91">
      <text>
        <t xml:space="preserve">======
ID#AAAAV39cmAo
    (2022-02-24 11:04:29)
A margin of &gt;1.1 is required and a margin of &gt;1.3 is recommended to accout for the variation in the power limit and timer. 
Reduce Tfault to improve SOA margin.</t>
      </text>
    </comment>
    <comment authorId="0" ref="F49">
      <text>
        <t xml:space="preserve">======
ID#AAAAV39cmAk
    (2022-02-24 11:04:29)
The power dissipation is calculated using the maximum normal load current.
Ensure the selected resistor is rated for this power dissipation.</t>
      </text>
    </comment>
    <comment authorId="0" ref="F76">
      <text>
        <t xml:space="preserve">======
ID#AAAAV39cmAg
    (2022-02-24 11:04:29)
Pick closest capacitor that is larger than the Target capacitance</t>
      </text>
    </comment>
    <comment authorId="0" ref="F27">
      <text>
        <t xml:space="preserve">======
ID#AAAAV39cmAc
    (2022-02-24 11:04:29)
The minimum system voltage must be no less than 10V</t>
      </text>
    </comment>
    <comment authorId="0" ref="F39">
      <text>
        <t xml:space="preserve">======
ID#AAAAV39cmAY
    (2022-02-24 11:04:29)
Using an External Resistor allows the user to fine tune the current limit for a given standard resistor. 
It will add error to the power limit, current limit, and telemetry (1% resistors) and should be avoided if possible.</t>
      </text>
    </comment>
    <comment authorId="0" ref="F78">
      <text>
        <t xml:space="preserve">======
ID#AAAAV39cmAU
    (2022-02-24 11:04:29)
A ratio over 1.1 is required and over 1.3 is preferred.  This will account for variation in Power limit and timer
If the margin is poor with a PLIM based start-up,  reduce timer, reduce power limit, use more FETs in parallel or switch to soft start (cell F55)</t>
      </text>
    </comment>
    <comment authorId="0" ref="F47">
      <text>
        <t xml:space="preserve">======
ID#AAAAV39cmAQ
    (2022-02-24 11:04:29)
Ensure that the minimum current limit is above maximum load.</t>
      </text>
    </comment>
    <comment authorId="0" ref="F31">
      <text>
        <t xml:space="preserve">======
ID#AAAAV39cmAM
    (2022-02-24 11:04:29)
This is the capacitance at Vout. This should not be zero. A minimum of 10 μF is recommended.</t>
      </text>
    </comment>
    <comment authorId="0" ref="F80">
      <text>
        <t xml:space="preserve">======
ID#AAAAV39cmAA
    (2022-02-24 11:04:29)
If these cells are red, there is no suitable slew rate for keeping FET whithin SOA. 
Reduce load at start-up or pick FET with better SOA.</t>
      </text>
    </comment>
    <comment authorId="0" ref="F51">
      <text>
        <t xml:space="preserve">======
ID#AAAAV39cl_8
    (2022-02-24 11:04:29)
Note that this parameter is heavily dependent on the board layout and amount of copper connected to the Drain of the FET. 
The TI EVM is ~30C / W number and is a good starting point. It's recommended to measure this value again once the boards are built and plugging this back into the calculator.</t>
      </text>
    </comment>
    <comment authorId="0" ref="F67">
      <text>
        <t xml:space="preserve">======
ID#AAAAV39cl_4
    (2022-02-24 11:04:29)
Cell turns Red if the actual power limit is below Minimum Power Limit (cell F46)</t>
      </text>
    </comment>
  </commentList>
  <extLst>
    <ext uri="GoogleSheetsCustomDataVersion1">
      <go:sheetsCustomData xmlns:go="http://customooxmlschemas.google.com/" r:id="rId1" roundtripDataSignature="AMtx7mgmdAP5NFvOmeaHvR5voTvBfg84ow=="/>
    </ext>
  </extLst>
</comments>
</file>

<file path=xl/comments2.xml><?xml version="1.0" encoding="utf-8"?>
<comments xmlns:r="http://schemas.openxmlformats.org/officeDocument/2006/relationships" xmlns="http://schemas.openxmlformats.org/spreadsheetml/2006/main">
  <authors>
    <author/>
  </authors>
  <commentList>
    <comment authorId="0" ref="C40">
      <text>
        <t xml:space="preserve">======
ID#AAAAV39cmBo
    (2022-02-24 11:04:29)
Enter data from the MOSFET's SOA chart typically found in its datasheet.
Consult the MOSFET vendor for SOA performance detail and appropriate derating criteria.</t>
      </text>
    </comment>
    <comment authorId="0" ref="C39">
      <text>
        <t xml:space="preserve">======
ID#AAAAV39cmAI
    (2022-02-24 11:04:29)
Enter data from the MOSFET's SOA chart typically found in its datasheet.
Consult the MOSFET vendor for SOA performance detail and appropriate derating criteria.</t>
      </text>
    </comment>
    <comment authorId="0" ref="C41">
      <text>
        <t xml:space="preserve">======
ID#AAAAV39cmAE
    (2022-02-24 11:04:29)
Enter data from the MOSFET's SOA chart typically found in its datasheet.
Consult the MOSFET vendor for SOA performance detail and appropriate derating criteria.</t>
      </text>
    </comment>
  </commentList>
  <extLst>
    <ext uri="GoogleSheetsCustomDataVersion1">
      <go:sheetsCustomData xmlns:go="http://customooxmlschemas.google.com/" r:id="rId1" roundtripDataSignature="AMtx7mgBRj08BdT63rl1yJjgHiQCXcpUhA=="/>
    </ext>
  </extLst>
</comments>
</file>

<file path=xl/sharedStrings.xml><?xml version="1.0" encoding="utf-8"?>
<sst xmlns="http://schemas.openxmlformats.org/spreadsheetml/2006/main" count="600" uniqueCount="419">
  <si>
    <t>© 2016</t>
  </si>
  <si>
    <t>TPS249x/8x Design Tool- Rev. B</t>
  </si>
  <si>
    <t>Typical design procedure</t>
  </si>
  <si>
    <t>Typical applications require multiple passes through the design tool using MOSFET factors such as transient</t>
  </si>
  <si>
    <t>thermal response and safe operating area curves. Refer to the following application reports for more detail.</t>
  </si>
  <si>
    <t>Robust Hot Swap Design</t>
  </si>
  <si>
    <t>The basic design process follows:</t>
  </si>
  <si>
    <t>1. Enter operating conditions.</t>
  </si>
  <si>
    <t>2. Select current limit parameters.</t>
  </si>
  <si>
    <t>3. Enter MOSTFET SOA characteristics &amp; power limit.</t>
  </si>
  <si>
    <t>4. Select start up conditions (load and/or soft start). Check whether FET is operating with reasonable margin, within the SOA curve.</t>
  </si>
  <si>
    <t xml:space="preserve">    If not, try changing start-up conditions (soft start values, timer values), add more FETs in parallel, or switch to FET with better SOA.</t>
  </si>
  <si>
    <t>5. Enter desired UVLO and OVLO values to get recommended resistor values.</t>
  </si>
  <si>
    <t>6. Done</t>
  </si>
  <si>
    <t>Notes</t>
  </si>
  <si>
    <t>1. This worksheet is designed for use with Microsoft Excel 5.0 or later.  Its use is intended to assist power supply designers in their</t>
  </si>
  <si>
    <t xml:space="preserve">routine, day-to-day calculations.  </t>
  </si>
  <si>
    <t>2. All worksheets have light green inputs cells, white calculated cells, yellow warning cells and red high-risk cells.</t>
  </si>
  <si>
    <t>3. Formulas and device constants used in the spreadsheet are locked to prohibit them from accidentally being overwritten or deleted.</t>
  </si>
  <si>
    <t xml:space="preserve">TEXAS INSTRUMENTS TEXT FILE LICENSE
Copyright (c) 2014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</si>
  <si>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r>
      <rPr>
        <rFont val="Arial"/>
        <color rgb="FFFFFFFF"/>
        <sz val="24.0"/>
      </rPr>
      <t xml:space="preserve">                       </t>
    </r>
    <r>
      <rPr>
        <rFont val="Arial"/>
        <color rgb="FFFFFFFF"/>
        <sz val="22.0"/>
      </rPr>
      <t>TPS2490/1/2/3 &amp; TPS2480/1/2/3 Hot Swap Design Tool</t>
    </r>
  </si>
  <si>
    <t>www.ti.com/hotswap</t>
  </si>
  <si>
    <t>Yes</t>
  </si>
  <si>
    <t>Enter Values in Green Shaded Cells</t>
  </si>
  <si>
    <t>No</t>
  </si>
  <si>
    <t>Calculated Values are shown in White Cells</t>
  </si>
  <si>
    <t xml:space="preserve">Yellow and Red cells highlight pottential issues with the design. Red highlights items that are higher risk. </t>
  </si>
  <si>
    <t>Step 0: Calculator Tutorials</t>
  </si>
  <si>
    <r>
      <rPr>
        <rFont val="Arial"/>
        <b/>
        <color rgb="FFFF0000"/>
        <sz val="12.0"/>
        <u/>
      </rPr>
      <t>Note</t>
    </r>
    <r>
      <rPr>
        <rFont val="Arial"/>
        <b val="0"/>
        <color rgb="FFFF0000"/>
        <sz val="12.0"/>
        <u/>
      </rPr>
      <t>: Before proceeding, please watch the video tutorials listed to ensure accurate results from this tool!</t>
    </r>
  </si>
  <si>
    <t>Steps 1 &amp; 2: Operating Conditions, Current Limit, &amp; Circuit Breaker (7:41)</t>
  </si>
  <si>
    <t>Step 3: MOSFET Selection (9:58)</t>
  </si>
  <si>
    <t>Step 4: Startup (10:32)</t>
  </si>
  <si>
    <t>Step 5: UVLO, OVLO &amp; PGD Thresholds (4:20)</t>
  </si>
  <si>
    <t>TPS2490 Datasheet</t>
  </si>
  <si>
    <r>
      <rPr>
        <rFont val="Arial"/>
        <b/>
        <color theme="1"/>
        <sz val="11.0"/>
      </rPr>
      <t>I understand and agree to watch the video tutorials if help is needed.</t>
    </r>
    <r>
      <rPr>
        <rFont val="Arial"/>
        <b val="0"/>
        <color theme="1"/>
        <sz val="11.0"/>
      </rPr>
      <t xml:space="preserve"> </t>
    </r>
    <r>
      <rPr>
        <rFont val="Arial"/>
        <b val="0"/>
        <color theme="1"/>
        <sz val="10.0"/>
      </rPr>
      <t>(Choose Yes to enable the calculator.)</t>
    </r>
  </si>
  <si>
    <t xml:space="preserve">Assure to follow the layout and application guidelines listed on the datasheet. </t>
  </si>
  <si>
    <t>*For additional questions not addressed in the videos, please post on E2E.ti.com</t>
  </si>
  <si>
    <t>Step 1: Operating Conditions</t>
  </si>
  <si>
    <r>
      <rPr>
        <rFont val="Arial"/>
        <color theme="1"/>
        <sz val="10.0"/>
      </rPr>
      <t>Minimum Input Operating Voltage: V</t>
    </r>
    <r>
      <rPr>
        <rFont val="Arial"/>
        <color theme="1"/>
        <sz val="10.0"/>
        <vertAlign val="subscript"/>
      </rPr>
      <t>IN(MIN)</t>
    </r>
  </si>
  <si>
    <t>V</t>
  </si>
  <si>
    <r>
      <rPr>
        <rFont val="Arial"/>
        <color theme="1"/>
        <sz val="10.0"/>
      </rPr>
      <t>Nominal Input Operating Voltage: V</t>
    </r>
    <r>
      <rPr>
        <rFont val="Arial"/>
        <color theme="1"/>
        <sz val="10.0"/>
        <vertAlign val="subscript"/>
      </rPr>
      <t>IN(NOM)</t>
    </r>
  </si>
  <si>
    <r>
      <rPr>
        <rFont val="Arial"/>
        <color theme="1"/>
        <sz val="10.0"/>
      </rPr>
      <t>Maximum Input Operating Voltage: V</t>
    </r>
    <r>
      <rPr>
        <rFont val="Arial"/>
        <color theme="1"/>
        <sz val="10.0"/>
        <vertAlign val="subscript"/>
      </rPr>
      <t>IN(MAX)</t>
    </r>
  </si>
  <si>
    <r>
      <rPr>
        <rFont val="Arial"/>
        <color theme="1"/>
        <sz val="10.0"/>
      </rPr>
      <t>Maximum Load Current: I</t>
    </r>
    <r>
      <rPr>
        <rFont val="Arial"/>
        <color theme="1"/>
        <sz val="10.0"/>
        <vertAlign val="subscript"/>
      </rPr>
      <t>OUT(MAX)</t>
    </r>
  </si>
  <si>
    <t>A</t>
  </si>
  <si>
    <r>
      <rPr>
        <rFont val="Arial"/>
        <color theme="1"/>
        <sz val="10.0"/>
      </rPr>
      <t>Maximum Output Load Capacitance: C</t>
    </r>
    <r>
      <rPr>
        <rFont val="Arial"/>
        <color theme="1"/>
        <sz val="10.0"/>
        <vertAlign val="subscript"/>
      </rPr>
      <t>LOAD</t>
    </r>
  </si>
  <si>
    <t>µF</t>
  </si>
  <si>
    <r>
      <rPr>
        <rFont val="Arial"/>
        <color theme="1"/>
        <sz val="10.0"/>
      </rPr>
      <t>Maximum Ambient Operating Temperature: T</t>
    </r>
    <r>
      <rPr>
        <rFont val="Arial"/>
        <color theme="1"/>
        <sz val="10.0"/>
        <vertAlign val="subscript"/>
      </rPr>
      <t>MAX</t>
    </r>
  </si>
  <si>
    <r>
      <rPr>
        <rFont val="Arial"/>
        <color theme="1"/>
        <sz val="10.0"/>
        <vertAlign val="superscript"/>
      </rPr>
      <t>o</t>
    </r>
    <r>
      <rPr>
        <rFont val="Arial"/>
        <color theme="1"/>
        <sz val="10.0"/>
      </rPr>
      <t>C</t>
    </r>
  </si>
  <si>
    <t>Steps 1 &amp; 2: Operating Conditions, Current Limit, &amp; Circuit Breaker</t>
  </si>
  <si>
    <t>Step 2: Current Limit and Circuit Breaker</t>
  </si>
  <si>
    <t>Maximum Recommended Value for Rs</t>
  </si>
  <si>
    <r>
      <rPr>
        <rFont val="Arial"/>
        <color theme="1"/>
        <sz val="10.0"/>
      </rPr>
      <t>m</t>
    </r>
    <r>
      <rPr>
        <rFont val="Symbol"/>
        <color theme="1"/>
        <sz val="10.0"/>
      </rPr>
      <t>W</t>
    </r>
  </si>
  <si>
    <t>46 mV</t>
  </si>
  <si>
    <r>
      <rPr>
        <rFont val="Arial"/>
        <color theme="1"/>
        <sz val="10.0"/>
      </rPr>
      <t>Use External Resistor Divider to Reduce Effecitve R</t>
    </r>
    <r>
      <rPr>
        <rFont val="Arial"/>
        <color theme="1"/>
        <sz val="10.0"/>
        <vertAlign val="subscript"/>
      </rPr>
      <t>S</t>
    </r>
  </si>
  <si>
    <r>
      <rPr>
        <rFont val="Arial"/>
        <color theme="1"/>
        <sz val="10.0"/>
      </rPr>
      <t>Enter the Resistance for R</t>
    </r>
    <r>
      <rPr>
        <rFont val="Arial"/>
        <color theme="1"/>
        <sz val="10.0"/>
        <vertAlign val="subscript"/>
      </rPr>
      <t>S</t>
    </r>
  </si>
  <si>
    <r>
      <rPr>
        <rFont val="Arial"/>
        <color theme="1"/>
        <sz val="10.0"/>
      </rPr>
      <t>m</t>
    </r>
    <r>
      <rPr>
        <rFont val="Symbol"/>
        <color theme="1"/>
        <sz val="10.0"/>
      </rPr>
      <t>W</t>
    </r>
  </si>
  <si>
    <t>Recommended Value for RCL1</t>
  </si>
  <si>
    <t>W</t>
  </si>
  <si>
    <t>Recommended Value for RCL2</t>
  </si>
  <si>
    <t>Enter value for RCL1</t>
  </si>
  <si>
    <t>Enter value for RCL2</t>
  </si>
  <si>
    <r>
      <rPr>
        <rFont val="Arial"/>
        <color theme="1"/>
        <sz val="10.0"/>
      </rPr>
      <t>Effective Sense Resistance (R</t>
    </r>
    <r>
      <rPr>
        <rFont val="Arial"/>
        <color theme="1"/>
        <sz val="10.0"/>
        <vertAlign val="subscript"/>
      </rPr>
      <t>S,EFF</t>
    </r>
    <r>
      <rPr>
        <rFont val="Arial"/>
        <color theme="1"/>
        <sz val="10.0"/>
      </rPr>
      <t>)</t>
    </r>
  </si>
  <si>
    <r>
      <rPr>
        <rFont val="Arial"/>
        <color theme="1"/>
        <sz val="10.0"/>
      </rPr>
      <t>m</t>
    </r>
    <r>
      <rPr>
        <rFont val="Symbol"/>
        <color theme="1"/>
        <sz val="10.0"/>
      </rPr>
      <t>W</t>
    </r>
  </si>
  <si>
    <t>Resulting Minimum Current Limit</t>
  </si>
  <si>
    <t>Resulting Typical Current Limit</t>
  </si>
  <si>
    <t>Resulting Maximum Current Limit</t>
  </si>
  <si>
    <t>Retry</t>
  </si>
  <si>
    <r>
      <rPr>
        <rFont val="Arial"/>
        <color theme="1"/>
        <sz val="10.0"/>
      </rPr>
      <t>Maximum Power Dissipation in R</t>
    </r>
    <r>
      <rPr>
        <rFont val="Arial"/>
        <color theme="1"/>
        <sz val="10.0"/>
        <vertAlign val="subscript"/>
      </rPr>
      <t>S</t>
    </r>
  </si>
  <si>
    <t>Latch Off</t>
  </si>
  <si>
    <t>Step 3: MOSFET Selection</t>
  </si>
  <si>
    <t>Q1 FET Name</t>
  </si>
  <si>
    <t>SUP60020E</t>
  </si>
  <si>
    <r>
      <rPr>
        <rFont val="Arial"/>
        <color theme="1"/>
        <sz val="10.0"/>
      </rPr>
      <t>Estimated MOSFET R</t>
    </r>
    <r>
      <rPr>
        <rFont val="Symbol"/>
        <color theme="1"/>
        <sz val="10.0"/>
      </rPr>
      <t>Q</t>
    </r>
    <r>
      <rPr>
        <rFont val="Arial"/>
        <color theme="1"/>
        <sz val="10.0"/>
        <vertAlign val="subscript"/>
      </rPr>
      <t>JA</t>
    </r>
  </si>
  <si>
    <r>
      <rPr>
        <rFont val="Arial"/>
        <color theme="1"/>
        <sz val="10.0"/>
        <vertAlign val="superscript"/>
      </rPr>
      <t>o</t>
    </r>
    <r>
      <rPr>
        <rFont val="Arial"/>
        <color theme="1"/>
        <sz val="10.0"/>
      </rPr>
      <t>C/W</t>
    </r>
  </si>
  <si>
    <t>Number of MosFETs</t>
  </si>
  <si>
    <t>#</t>
  </si>
  <si>
    <t>Values Used</t>
  </si>
  <si>
    <r>
      <rPr>
        <rFont val="Arial"/>
        <color theme="1"/>
        <sz val="10.0"/>
      </rPr>
      <t>MOSFET On resistance @ T</t>
    </r>
    <r>
      <rPr>
        <rFont val="Arial"/>
        <color theme="1"/>
        <sz val="10.0"/>
        <vertAlign val="subscript"/>
      </rPr>
      <t>J,DC</t>
    </r>
  </si>
  <si>
    <r>
      <rPr>
        <rFont val="Arial"/>
        <color theme="1"/>
        <sz val="10.0"/>
      </rPr>
      <t>m</t>
    </r>
    <r>
      <rPr>
        <rFont val="Symbol"/>
        <color theme="1"/>
        <sz val="10.0"/>
      </rPr>
      <t>W</t>
    </r>
  </si>
  <si>
    <t>Maximum FET Junction Temperature</t>
  </si>
  <si>
    <r>
      <rPr>
        <rFont val="Arial"/>
        <color theme="1"/>
        <sz val="10.0"/>
        <vertAlign val="superscript"/>
      </rPr>
      <t>o</t>
    </r>
    <r>
      <rPr>
        <rFont val="Arial"/>
        <color theme="1"/>
        <sz val="10.0"/>
      </rPr>
      <t>C</t>
    </r>
  </si>
  <si>
    <r>
      <rPr>
        <rFont val="Arial"/>
        <color theme="1"/>
        <sz val="10.0"/>
      </rPr>
      <t>100</t>
    </r>
    <r>
      <rPr>
        <rFont val="Symbol"/>
        <color theme="1"/>
        <sz val="10.0"/>
      </rPr>
      <t>m</t>
    </r>
    <r>
      <rPr>
        <rFont val="Arial"/>
        <color theme="1"/>
        <sz val="10.0"/>
      </rPr>
      <t>s SOA Current (re-use 1ms data if unavailable) @ V</t>
    </r>
    <r>
      <rPr>
        <rFont val="Arial"/>
        <color theme="1"/>
        <sz val="10.0"/>
        <vertAlign val="subscript"/>
      </rPr>
      <t>IN(MAX)</t>
    </r>
  </si>
  <si>
    <r>
      <rPr>
        <rFont val="Arial"/>
        <color theme="1"/>
        <sz val="10.0"/>
      </rPr>
      <t>1ms SOA Current @ V</t>
    </r>
    <r>
      <rPr>
        <rFont val="Arial"/>
        <color theme="1"/>
        <sz val="10.0"/>
        <vertAlign val="subscript"/>
      </rPr>
      <t>IN(MAX)</t>
    </r>
  </si>
  <si>
    <r>
      <rPr>
        <rFont val="Arial"/>
        <color theme="1"/>
        <sz val="10.0"/>
      </rPr>
      <t>10ms SOA Current @ V</t>
    </r>
    <r>
      <rPr>
        <rFont val="Arial"/>
        <color theme="1"/>
        <sz val="10.0"/>
        <vertAlign val="subscript"/>
      </rPr>
      <t>IN(MAX)</t>
    </r>
  </si>
  <si>
    <r>
      <rPr>
        <rFont val="Arial"/>
        <color theme="1"/>
        <sz val="10.0"/>
      </rPr>
      <t>100ms  Current at @ V</t>
    </r>
    <r>
      <rPr>
        <rFont val="Arial"/>
        <color theme="1"/>
        <sz val="10.0"/>
        <vertAlign val="subscript"/>
      </rPr>
      <t>IN(MAX)</t>
    </r>
    <r>
      <rPr>
        <rFont val="Arial"/>
        <color theme="1"/>
        <sz val="10.0"/>
      </rPr>
      <t xml:space="preserve"> (use DC if 100ms not available)</t>
    </r>
  </si>
  <si>
    <r>
      <rPr>
        <rFont val="Arial"/>
        <color theme="1"/>
        <sz val="10.0"/>
      </rPr>
      <t>1s or DC SOA Current at @ V</t>
    </r>
    <r>
      <rPr>
        <rFont val="Arial"/>
        <color theme="1"/>
        <sz val="10.0"/>
        <vertAlign val="subscript"/>
      </rPr>
      <t>IN(MAX)</t>
    </r>
    <r>
      <rPr>
        <rFont val="Arial"/>
        <color theme="1"/>
        <sz val="10.0"/>
      </rPr>
      <t xml:space="preserve"> (use DC if 1s not available)</t>
    </r>
  </si>
  <si>
    <t>FET Power dissapation at full load (per FET)</t>
  </si>
  <si>
    <t>Note: TI recommends choosing a FET with SOA current specified for 100ms and/or 1s or DC. If choosing a FET without these parameters, this calculator will estimate the values via extrapolation, which leaves an inherent associated risk.</t>
  </si>
  <si>
    <r>
      <rPr>
        <rFont val="Arial"/>
        <color theme="1"/>
        <sz val="10.0"/>
      </rPr>
      <t>Maximum steady state FET Junction Temperature (T</t>
    </r>
    <r>
      <rPr>
        <rFont val="Arial"/>
        <color theme="1"/>
        <sz val="10.0"/>
        <vertAlign val="subscript"/>
      </rPr>
      <t>J,DC</t>
    </r>
    <r>
      <rPr>
        <rFont val="Arial"/>
        <color theme="1"/>
        <sz val="10.0"/>
      </rPr>
      <t>)</t>
    </r>
  </si>
  <si>
    <r>
      <rPr>
        <rFont val="Arial"/>
        <color theme="1"/>
        <sz val="10.0"/>
        <vertAlign val="superscript"/>
      </rPr>
      <t>o</t>
    </r>
    <r>
      <rPr>
        <rFont val="Arial"/>
        <color theme="1"/>
        <sz val="10.0"/>
      </rPr>
      <t>C</t>
    </r>
  </si>
  <si>
    <r>
      <rPr>
        <rFont val="Arial"/>
        <color theme="1"/>
        <sz val="10.0"/>
      </rPr>
      <t>Minimum Power Limit to Ensure Vsns &gt; 5mV &amp; Vprog &gt; 0.4V (P</t>
    </r>
    <r>
      <rPr>
        <rFont val="Arial"/>
        <color theme="1"/>
        <sz val="10.0"/>
        <vertAlign val="subscript"/>
      </rPr>
      <t>LIM,MIN</t>
    </r>
    <r>
      <rPr>
        <rFont val="Arial"/>
        <color theme="1"/>
        <sz val="10.0"/>
      </rPr>
      <t>)</t>
    </r>
  </si>
  <si>
    <t>Target Power Limit</t>
  </si>
  <si>
    <r>
      <rPr>
        <rFont val="Arial"/>
        <color theme="1"/>
        <sz val="10.0"/>
      </rPr>
      <t>Select R</t>
    </r>
    <r>
      <rPr>
        <rFont val="Arial"/>
        <color theme="1"/>
        <sz val="10.0"/>
        <vertAlign val="subscript"/>
      </rPr>
      <t>3</t>
    </r>
  </si>
  <si>
    <r>
      <rPr>
        <rFont val="Arial"/>
        <color theme="1"/>
        <sz val="10.0"/>
      </rPr>
      <t>k</t>
    </r>
    <r>
      <rPr>
        <rFont val="Symbol"/>
        <color theme="1"/>
        <sz val="10.0"/>
      </rPr>
      <t>W</t>
    </r>
  </si>
  <si>
    <r>
      <rPr>
        <rFont val="Arial"/>
        <color theme="1"/>
        <sz val="10.0"/>
      </rPr>
      <t>Calculated R</t>
    </r>
    <r>
      <rPr>
        <rFont val="Arial"/>
        <color theme="1"/>
        <sz val="10.0"/>
        <vertAlign val="subscript"/>
      </rPr>
      <t>4</t>
    </r>
  </si>
  <si>
    <r>
      <rPr>
        <rFont val="Arial"/>
        <color theme="1"/>
        <sz val="10.0"/>
      </rPr>
      <t>k</t>
    </r>
    <r>
      <rPr>
        <rFont val="Symbol"/>
        <color theme="1"/>
        <sz val="10.0"/>
      </rPr>
      <t>W</t>
    </r>
  </si>
  <si>
    <r>
      <rPr>
        <rFont val="Arial"/>
        <color theme="1"/>
        <sz val="10.0"/>
      </rPr>
      <t>Actual R</t>
    </r>
    <r>
      <rPr>
        <rFont val="Arial"/>
        <color theme="1"/>
        <sz val="10.0"/>
        <vertAlign val="subscript"/>
      </rPr>
      <t xml:space="preserve">4 </t>
    </r>
    <r>
      <rPr>
        <rFont val="Arial"/>
        <color theme="1"/>
        <sz val="10.0"/>
      </rPr>
      <t>(Select next available std. value)</t>
    </r>
  </si>
  <si>
    <r>
      <rPr>
        <rFont val="Arial"/>
        <color theme="1"/>
        <sz val="10.0"/>
      </rPr>
      <t>k</t>
    </r>
    <r>
      <rPr>
        <rFont val="Symbol"/>
        <color theme="1"/>
        <sz val="10.0"/>
      </rPr>
      <t>W</t>
    </r>
  </si>
  <si>
    <r>
      <rPr>
        <rFont val="Arial"/>
        <b/>
        <color rgb="FFFF0000"/>
        <sz val="10.0"/>
        <u/>
      </rPr>
      <t>Note:</t>
    </r>
    <r>
      <rPr>
        <rFont val="Arial"/>
        <b/>
        <color rgb="FFFF0000"/>
        <sz val="10.0"/>
        <u/>
      </rPr>
      <t xml:space="preserve"> Hover here to see the 3 values affecting this curve, consult a thermal expert if you are unsure! </t>
    </r>
  </si>
  <si>
    <t>Actual PLIM</t>
  </si>
  <si>
    <t>Step 4: Startup</t>
  </si>
  <si>
    <t>Load Turn-On Threshold</t>
  </si>
  <si>
    <t>Startup Load Type</t>
  </si>
  <si>
    <t>Constant Current</t>
  </si>
  <si>
    <t>Startup Load Value</t>
  </si>
  <si>
    <t>Use External Soft-Start Control</t>
  </si>
  <si>
    <t>Resistive</t>
  </si>
  <si>
    <t>Typical Start Time with Vinmax (Tstart)</t>
  </si>
  <si>
    <t>ms</t>
  </si>
  <si>
    <t>IFET - ILOAD margin (lowest for Vout range)</t>
  </si>
  <si>
    <t>Target Fault Timer: Tstart + Margin</t>
  </si>
  <si>
    <t>Target Timer capacitance</t>
  </si>
  <si>
    <t>nF</t>
  </si>
  <si>
    <t xml:space="preserve">Selected Timer capacitance </t>
  </si>
  <si>
    <t>Final Fault Timer(Tfault)</t>
  </si>
  <si>
    <t>Derated SOA / PLIM</t>
  </si>
  <si>
    <t>Can a "hot" board be hotplugged</t>
  </si>
  <si>
    <t>Recommended slew Rate (max)</t>
  </si>
  <si>
    <t>V/ms</t>
  </si>
  <si>
    <t>Recommended slew Rate (min)</t>
  </si>
  <si>
    <t>Note: This is the typical dv/dt rate, but max value can be larger. This is because the gate source current can vary from 16uA to 28uA. Thus TI recommends keeping the overall SOA margin during start-up &gt;1.5 in order to compensate for this.</t>
  </si>
  <si>
    <t>dv/dt rate on Vout</t>
  </si>
  <si>
    <t>calculated SS capacitance</t>
  </si>
  <si>
    <t>actual SS capacitance</t>
  </si>
  <si>
    <t>actual dv/dt rate on Vout</t>
  </si>
  <si>
    <t>SOA margin during start-up</t>
  </si>
  <si>
    <t>Target Fault Time</t>
  </si>
  <si>
    <t xml:space="preserve">Calculated Timer Capacitance </t>
  </si>
  <si>
    <r>
      <rPr>
        <rFont val="Arial"/>
        <color theme="1"/>
        <sz val="10.0"/>
      </rPr>
      <t>Actual Timer Capacitance (pick one smaller than C</t>
    </r>
    <r>
      <rPr>
        <rFont val="Arial"/>
        <color theme="1"/>
        <sz val="10.0"/>
        <vertAlign val="subscript"/>
      </rPr>
      <t>T,CALC</t>
    </r>
    <r>
      <rPr>
        <rFont val="Arial"/>
        <color theme="1"/>
        <sz val="10.0"/>
      </rPr>
      <t xml:space="preserve">) </t>
    </r>
  </si>
  <si>
    <t>Actual Fault Time (Tfault)</t>
  </si>
  <si>
    <t xml:space="preserve"> </t>
  </si>
  <si>
    <t>SOA margin during "hot-short" or "start-into short"</t>
  </si>
  <si>
    <t>Step 5: UVLO, OVLO &amp; PGD Thresholds</t>
  </si>
  <si>
    <t>Target Under - Voltage</t>
  </si>
  <si>
    <t>Option B</t>
  </si>
  <si>
    <t>Recommended R2</t>
  </si>
  <si>
    <r>
      <rPr>
        <rFont val="Arial"/>
        <color theme="1"/>
        <sz val="10.0"/>
      </rPr>
      <t>k</t>
    </r>
    <r>
      <rPr>
        <rFont val="Symbol"/>
        <color theme="1"/>
        <sz val="10.0"/>
      </rPr>
      <t>W</t>
    </r>
  </si>
  <si>
    <t>Actual R2</t>
  </si>
  <si>
    <r>
      <rPr>
        <rFont val="Arial"/>
        <color theme="1"/>
        <sz val="10.0"/>
      </rPr>
      <t>k</t>
    </r>
    <r>
      <rPr>
        <rFont val="Symbol"/>
        <color theme="1"/>
        <sz val="10.0"/>
      </rPr>
      <t>W</t>
    </r>
  </si>
  <si>
    <t>Calculated R1</t>
  </si>
  <si>
    <r>
      <rPr>
        <rFont val="Arial"/>
        <color theme="1"/>
        <sz val="10.0"/>
      </rPr>
      <t>k</t>
    </r>
    <r>
      <rPr>
        <rFont val="Symbol"/>
        <color theme="1"/>
        <sz val="10.0"/>
      </rPr>
      <t>W</t>
    </r>
  </si>
  <si>
    <t>Actual R1</t>
  </si>
  <si>
    <r>
      <rPr>
        <rFont val="Arial"/>
        <color theme="1"/>
        <sz val="10.0"/>
      </rPr>
      <t>k</t>
    </r>
    <r>
      <rPr>
        <rFont val="Symbol"/>
        <color theme="1"/>
        <sz val="10.0"/>
      </rPr>
      <t>W</t>
    </r>
  </si>
  <si>
    <t>Resulting Thresholds:</t>
  </si>
  <si>
    <t>Minimum</t>
  </si>
  <si>
    <t>Typical</t>
  </si>
  <si>
    <t>Maximum</t>
  </si>
  <si>
    <t xml:space="preserve">Resulting Upper UVLO Threshold = </t>
  </si>
  <si>
    <t xml:space="preserve">Resulting Lower UVLO Threshold = </t>
  </si>
  <si>
    <t>Design Summary</t>
  </si>
  <si>
    <r>
      <rPr>
        <rFont val="Arial"/>
        <color rgb="FF000000"/>
        <sz val="11.0"/>
      </rPr>
      <t>R</t>
    </r>
    <r>
      <rPr>
        <rFont val="Arial"/>
        <color rgb="FF000000"/>
        <sz val="11.0"/>
        <vertAlign val="subscript"/>
      </rPr>
      <t>S</t>
    </r>
    <r>
      <rPr>
        <rFont val="Arial"/>
        <color rgb="FF000000"/>
        <sz val="11.0"/>
      </rPr>
      <t xml:space="preserve"> =</t>
    </r>
  </si>
  <si>
    <r>
      <rPr>
        <rFont val="Arial"/>
        <color theme="1"/>
        <sz val="10.0"/>
      </rPr>
      <t>m</t>
    </r>
    <r>
      <rPr>
        <rFont val="Symbol"/>
        <color theme="1"/>
        <sz val="10.0"/>
      </rPr>
      <t>W</t>
    </r>
  </si>
  <si>
    <r>
      <rPr>
        <rFont val="Arial"/>
        <color rgb="FF000000"/>
        <sz val="11.0"/>
      </rPr>
      <t>R</t>
    </r>
    <r>
      <rPr>
        <rFont val="Arial"/>
        <color rgb="FF000000"/>
        <sz val="11.0"/>
        <vertAlign val="subscript"/>
      </rPr>
      <t>CL1</t>
    </r>
    <r>
      <rPr>
        <rFont val="Arial"/>
        <color rgb="FF000000"/>
        <sz val="11.0"/>
      </rPr>
      <t xml:space="preserve"> =</t>
    </r>
  </si>
  <si>
    <r>
      <rPr>
        <rFont val="Arial"/>
        <color rgb="FF000000"/>
        <sz val="11.0"/>
      </rPr>
      <t>R</t>
    </r>
    <r>
      <rPr>
        <rFont val="Arial"/>
        <color rgb="FF000000"/>
        <sz val="11.0"/>
        <vertAlign val="subscript"/>
      </rPr>
      <t>CL2</t>
    </r>
    <r>
      <rPr>
        <rFont val="Arial"/>
        <color rgb="FF000000"/>
        <sz val="11.0"/>
      </rPr>
      <t xml:space="preserve"> =</t>
    </r>
  </si>
  <si>
    <t>R1 =</t>
  </si>
  <si>
    <r>
      <rPr>
        <rFont val="Arial"/>
        <color theme="1"/>
        <sz val="10.0"/>
      </rPr>
      <t>k</t>
    </r>
    <r>
      <rPr>
        <rFont val="Symbol"/>
        <color theme="1"/>
        <sz val="10.0"/>
      </rPr>
      <t>W</t>
    </r>
  </si>
  <si>
    <t>Units</t>
  </si>
  <si>
    <t>R2 =</t>
  </si>
  <si>
    <r>
      <rPr>
        <rFont val="Arial"/>
        <color theme="1"/>
        <sz val="10.0"/>
      </rPr>
      <t>k</t>
    </r>
    <r>
      <rPr>
        <rFont val="Symbol"/>
        <color theme="1"/>
        <sz val="10.0"/>
      </rPr>
      <t>W</t>
    </r>
  </si>
  <si>
    <t>Current limit</t>
  </si>
  <si>
    <t>R3 =</t>
  </si>
  <si>
    <r>
      <rPr>
        <rFont val="Arial"/>
        <color theme="1"/>
        <sz val="10.0"/>
      </rPr>
      <t>k</t>
    </r>
    <r>
      <rPr>
        <rFont val="Symbol"/>
        <color theme="1"/>
        <sz val="10.0"/>
      </rPr>
      <t>W</t>
    </r>
  </si>
  <si>
    <t>Power Limit</t>
  </si>
  <si>
    <t>R4 =</t>
  </si>
  <si>
    <r>
      <rPr>
        <rFont val="Arial"/>
        <color theme="1"/>
        <sz val="10.0"/>
      </rPr>
      <t>k</t>
    </r>
    <r>
      <rPr>
        <rFont val="Symbol"/>
        <color theme="1"/>
        <sz val="10.0"/>
      </rPr>
      <t>W</t>
    </r>
  </si>
  <si>
    <t>Fault Timeout</t>
  </si>
  <si>
    <r>
      <rPr>
        <rFont val="Arial"/>
        <color theme="1"/>
        <sz val="10.0"/>
      </rPr>
      <t>C</t>
    </r>
    <r>
      <rPr>
        <rFont val="Arial"/>
        <color theme="1"/>
        <sz val="10.0"/>
        <vertAlign val="subscript"/>
      </rPr>
      <t>T</t>
    </r>
    <r>
      <rPr>
        <rFont val="Arial"/>
        <color theme="1"/>
        <sz val="10.0"/>
      </rPr>
      <t xml:space="preserve"> =</t>
    </r>
  </si>
  <si>
    <t>Upper UVLO Threshold</t>
  </si>
  <si>
    <r>
      <rPr>
        <rFont val="Arial"/>
        <color theme="1"/>
        <sz val="10.0"/>
      </rPr>
      <t>C</t>
    </r>
    <r>
      <rPr>
        <rFont val="Arial"/>
        <color theme="1"/>
        <sz val="10.0"/>
        <vertAlign val="subscript"/>
      </rPr>
      <t>1</t>
    </r>
    <r>
      <rPr>
        <rFont val="Arial"/>
        <color theme="1"/>
        <sz val="10.0"/>
      </rPr>
      <t xml:space="preserve"> = </t>
    </r>
  </si>
  <si>
    <t>Lower UVLO Threshold</t>
  </si>
  <si>
    <t>Q1 =</t>
  </si>
  <si>
    <r>
      <rPr>
        <rFont val="Arial"/>
        <color rgb="FF000000"/>
        <sz val="11.0"/>
      </rPr>
      <t>R</t>
    </r>
    <r>
      <rPr>
        <rFont val="Arial"/>
        <color rgb="FF000000"/>
        <sz val="11.0"/>
        <vertAlign val="subscript"/>
      </rPr>
      <t>G</t>
    </r>
    <r>
      <rPr>
        <rFont val="Arial"/>
        <color rgb="FF000000"/>
        <sz val="11.0"/>
      </rPr>
      <t xml:space="preserve"> =</t>
    </r>
  </si>
  <si>
    <r>
      <rPr>
        <rFont val="Arial"/>
        <color theme="1"/>
        <sz val="10.0"/>
      </rPr>
      <t>k</t>
    </r>
    <r>
      <rPr>
        <rFont val="Symbol"/>
        <color theme="1"/>
        <sz val="10.0"/>
      </rPr>
      <t>W</t>
    </r>
  </si>
  <si>
    <r>
      <rPr>
        <rFont val="Arial"/>
        <color rgb="FF000000"/>
        <sz val="11.0"/>
      </rPr>
      <t>C</t>
    </r>
    <r>
      <rPr>
        <rFont val="Arial"/>
        <color rgb="FF000000"/>
        <sz val="11.0"/>
        <vertAlign val="subscript"/>
      </rPr>
      <t>G</t>
    </r>
    <r>
      <rPr>
        <rFont val="Arial"/>
        <color rgb="FF000000"/>
        <sz val="11.0"/>
      </rPr>
      <t xml:space="preserve"> =</t>
    </r>
  </si>
  <si>
    <t>Notes:</t>
  </si>
  <si>
    <r>
      <rPr>
        <rFont val="Arial"/>
        <color theme="1"/>
        <sz val="10.0"/>
      </rPr>
      <t>1. Although not mandatory, C</t>
    </r>
    <r>
      <rPr>
        <rFont val="Arial"/>
        <color theme="1"/>
        <sz val="10.0"/>
        <vertAlign val="subscript"/>
      </rPr>
      <t>IN</t>
    </r>
    <r>
      <rPr>
        <rFont val="Arial"/>
        <color theme="1"/>
        <sz val="10.0"/>
      </rPr>
      <t xml:space="preserve"> provides transient suppression at the VIN pin</t>
    </r>
  </si>
  <si>
    <t>2. A TVS clamp from VIN to GND is absolutely mandatory to clamp the voltage overshoot upon MOSFET turn-off, e.g. during circuit breaker</t>
  </si>
  <si>
    <t>3. Componet tolerances not accounted for in Min/Max Calculations.</t>
  </si>
  <si>
    <t>Min</t>
  </si>
  <si>
    <t>Typ</t>
  </si>
  <si>
    <t>Max</t>
  </si>
  <si>
    <t>Operating Conditions</t>
  </si>
  <si>
    <t>Junction Temperature</t>
  </si>
  <si>
    <t>Input Voltage</t>
  </si>
  <si>
    <t>Current Limit</t>
  </si>
  <si>
    <t>Threshold Voltage CL = VDD</t>
  </si>
  <si>
    <t>Sense input Current</t>
  </si>
  <si>
    <t>uA</t>
  </si>
  <si>
    <t>Timer</t>
  </si>
  <si>
    <t>Upper Threshold</t>
  </si>
  <si>
    <t>timer_constant</t>
  </si>
  <si>
    <t>Fault detection current</t>
  </si>
  <si>
    <t>Computed Start - Up Slop</t>
  </si>
  <si>
    <t>&lt;= mean root square(T_start_error_Plim, timer_error, cap_error); T_start proportional to 1/Plim =&gt; T_start_error_plim = 1/(1-Plim_err) - 1 = 1/(1-0.4) - 1 = 0.66</t>
  </si>
  <si>
    <t>Slop for calculations</t>
  </si>
  <si>
    <t>Note: We get additional buffer, b/c this is designed for a Vinmax, while typically Vin = Vinnom</t>
  </si>
  <si>
    <t>Gate</t>
  </si>
  <si>
    <t>Gate Sourcing Current</t>
  </si>
  <si>
    <t>Enable</t>
  </si>
  <si>
    <t>Rising</t>
  </si>
  <si>
    <t>Falling</t>
  </si>
  <si>
    <t>CLMIN =</t>
  </si>
  <si>
    <t>mV</t>
  </si>
  <si>
    <t xml:space="preserve">CLNOM = </t>
  </si>
  <si>
    <t>CLMAX =</t>
  </si>
  <si>
    <t>Max Rs =</t>
  </si>
  <si>
    <t>RCL1 Recommended  =</t>
  </si>
  <si>
    <t>RCL2 Recommmended =</t>
  </si>
  <si>
    <t>Effective Rs =</t>
  </si>
  <si>
    <t>Min. Current limit =</t>
  </si>
  <si>
    <t>Typ. Current limit =</t>
  </si>
  <si>
    <t>Max. Current limit =</t>
  </si>
  <si>
    <t>Rs Power Diss. =</t>
  </si>
  <si>
    <t>R = R4 / (R4+R3)</t>
  </si>
  <si>
    <t>R* R4 + R*R3 = R4</t>
  </si>
  <si>
    <t>FET Selection</t>
  </si>
  <si>
    <t>R4(1-R) = R *R3</t>
  </si>
  <si>
    <t>Nominal</t>
  </si>
  <si>
    <t>Derated at TJ</t>
  </si>
  <si>
    <t>100ms SOA Current Maximum Input Voltage</t>
  </si>
  <si>
    <t>R4 = R3 * R/(1-R)</t>
  </si>
  <si>
    <t>1ms SOA Current Maximum Input Voltage</t>
  </si>
  <si>
    <t>10ms SOA Current Maximum Input Voltage</t>
  </si>
  <si>
    <t>100ms or DC SOA Current at Maximum Input Voltage</t>
  </si>
  <si>
    <t>Minimum Power Limit=</t>
  </si>
  <si>
    <t>Target PLIM</t>
  </si>
  <si>
    <t>Target Vprog</t>
  </si>
  <si>
    <t>R3</t>
  </si>
  <si>
    <t>k-ohm</t>
  </si>
  <si>
    <t>Res. Div.</t>
  </si>
  <si>
    <t>R4</t>
  </si>
  <si>
    <t>Act R4</t>
  </si>
  <si>
    <t>Vprog</t>
  </si>
  <si>
    <t>Plim</t>
  </si>
  <si>
    <t>Startup</t>
  </si>
  <si>
    <t>With PLIM</t>
  </si>
  <si>
    <t>Typical Start time</t>
  </si>
  <si>
    <t>Start-slop</t>
  </si>
  <si>
    <t>Target Fault Timer</t>
  </si>
  <si>
    <t>Selected Timer capacitance</t>
  </si>
  <si>
    <t>Final Fault Timer</t>
  </si>
  <si>
    <t>SOA / PLIM</t>
  </si>
  <si>
    <t>With SS</t>
  </si>
  <si>
    <t>dv/dt rate</t>
  </si>
  <si>
    <t>actual dv/dt rate</t>
  </si>
  <si>
    <t>I_Cout</t>
  </si>
  <si>
    <t>typical start time</t>
  </si>
  <si>
    <t>FET Energy dissipated at start-up (EFET)</t>
  </si>
  <si>
    <t>J</t>
  </si>
  <si>
    <t>Peak Power dissipated  during start-up (PFET)</t>
  </si>
  <si>
    <t>Equivalent time at peak power - EFET/PFET (t_power)</t>
  </si>
  <si>
    <t>Available SOA for t_power at Vinmax</t>
  </si>
  <si>
    <t>SOA margin</t>
  </si>
  <si>
    <t>Covering hot-short, start-into short for SS</t>
  </si>
  <si>
    <t>Actual Timer Capacitance</t>
  </si>
  <si>
    <t>Available derated SOA for Tfault</t>
  </si>
  <si>
    <t>UVLO</t>
  </si>
  <si>
    <t>1.35 = UV * R2/(R2+R1)</t>
  </si>
  <si>
    <t>R2+R1 = UV * R2 /1.35</t>
  </si>
  <si>
    <t>R1 = R2*(-1+UV/1.35)</t>
  </si>
  <si>
    <t>GRAPH:</t>
  </si>
  <si>
    <t>Selected Rs =</t>
  </si>
  <si>
    <t>Max System voltage =</t>
  </si>
  <si>
    <t>Current Lim (min) =</t>
  </si>
  <si>
    <t>Current Lim (typ) =</t>
  </si>
  <si>
    <t>Current Lim (max) =</t>
  </si>
  <si>
    <t>Power Limit (typ) =</t>
  </si>
  <si>
    <t>A) This table calculates the Ids current based</t>
  </si>
  <si>
    <t>B) This table corrrects the table at left so no</t>
  </si>
  <si>
    <t>C) This table creates the</t>
  </si>
  <si>
    <t>D) This table changes ID values to zero for Vds&gt;Vin(max)</t>
  </si>
  <si>
    <t>on power limit only - no current limit info.</t>
  </si>
  <si>
    <t>current is greater than the current limit.</t>
  </si>
  <si>
    <t>SOA data points from</t>
  </si>
  <si>
    <t>and adds the SOA curve. This data is plotted.</t>
  </si>
  <si>
    <t>PLIM</t>
  </si>
  <si>
    <t>Vds</t>
  </si>
  <si>
    <t>the customer's SOA</t>
  </si>
  <si>
    <t>SOA</t>
  </si>
  <si>
    <t>Temp Derated SOA</t>
  </si>
  <si>
    <t>data he entered.</t>
  </si>
  <si>
    <t>User's</t>
  </si>
  <si>
    <t>Ids</t>
  </si>
  <si>
    <t>x = customer's entry</t>
  </si>
  <si>
    <t>x</t>
  </si>
  <si>
    <t>Note: I added an adjustment for the systematic offset</t>
  </si>
  <si>
    <t>Vos syst</t>
  </si>
  <si>
    <t>Rs (ohm)</t>
  </si>
  <si>
    <t>Vin, max</t>
  </si>
  <si>
    <t>Plim tolerance</t>
  </si>
  <si>
    <t>Plim (Vds) = Plim (Vin,max) + (Vds - Vin,max)*Vos,syst/Rs</t>
  </si>
  <si>
    <t>ILIM</t>
  </si>
  <si>
    <t>Load type</t>
  </si>
  <si>
    <t>SS</t>
  </si>
  <si>
    <t>Load Value</t>
  </si>
  <si>
    <t>Load start</t>
  </si>
  <si>
    <t>Rs</t>
  </si>
  <si>
    <t>Vos,syst</t>
  </si>
  <si>
    <t>Start-time</t>
  </si>
  <si>
    <t>I_fet-I_L margin</t>
  </si>
  <si>
    <t>I_g(hi/nom)</t>
  </si>
  <si>
    <t>I_g(low/nom)</t>
  </si>
  <si>
    <t>To avoid timer running: Iload + Icap,ss &lt; IFET_PLIM / 2 =&gt; SS_RATE &lt; 1/Cout * (IFET_PLIM/2 - ILOAD)</t>
  </si>
  <si>
    <t>Max_SS_Rate</t>
  </si>
  <si>
    <t>max_power_typ</t>
  </si>
  <si>
    <t>FET_ENERGY</t>
  </si>
  <si>
    <t>max_power_high</t>
  </si>
  <si>
    <t>max_power_low</t>
  </si>
  <si>
    <t>VIN</t>
  </si>
  <si>
    <t>Vout</t>
  </si>
  <si>
    <t>ILOAD</t>
  </si>
  <si>
    <t>IFET_PLIM</t>
  </si>
  <si>
    <t>I_FET_SS</t>
  </si>
  <si>
    <t>IFET</t>
  </si>
  <si>
    <t>ICAP</t>
  </si>
  <si>
    <r>
      <rPr>
        <rFont val="Symbol"/>
        <b/>
        <color theme="1"/>
        <sz val="10.0"/>
        <u/>
      </rPr>
      <t>D</t>
    </r>
    <r>
      <rPr>
        <rFont val="Arial"/>
        <b/>
        <color theme="1"/>
        <sz val="10.0"/>
        <u/>
      </rPr>
      <t>t</t>
    </r>
  </si>
  <si>
    <t>Time</t>
  </si>
  <si>
    <t>Tiime (ms)</t>
  </si>
  <si>
    <t>I_Fet-IL margin</t>
  </si>
  <si>
    <t>Max _allowed SS_rate</t>
  </si>
  <si>
    <t>FET_Energy</t>
  </si>
  <si>
    <t>Power (W)</t>
  </si>
  <si>
    <t>P_ fast_SS</t>
  </si>
  <si>
    <t>P_slow_SS</t>
  </si>
  <si>
    <t xml:space="preserve">Start-up slop </t>
  </si>
  <si>
    <t>QG</t>
  </si>
  <si>
    <t>I_Src</t>
  </si>
  <si>
    <t>RMS</t>
  </si>
  <si>
    <t>combined</t>
  </si>
  <si>
    <t>I_timer</t>
  </si>
  <si>
    <t>C_timer</t>
  </si>
  <si>
    <t>Final</t>
  </si>
  <si>
    <t>Look Up</t>
  </si>
  <si>
    <t>I = a * t^m</t>
  </si>
  <si>
    <t>100us</t>
  </si>
  <si>
    <t>1ms</t>
  </si>
  <si>
    <t>10ms</t>
  </si>
  <si>
    <t>100ms</t>
  </si>
  <si>
    <t>1s/DC</t>
  </si>
  <si>
    <t>a = iSOA1/tSOA1^m</t>
  </si>
  <si>
    <t>Final SOA</t>
  </si>
  <si>
    <t>m = log(iSOA1/iSOA2)/log(tSOA1/tSOA2)</t>
  </si>
  <si>
    <t>SOA Check - Based on Timer</t>
  </si>
  <si>
    <t>SOA Predictor - dv/dt start-up</t>
  </si>
  <si>
    <t>time</t>
  </si>
  <si>
    <t>Voltage</t>
  </si>
  <si>
    <t>Lower time</t>
  </si>
  <si>
    <t>Lower time (adjusted)</t>
  </si>
  <si>
    <t>Higher timer</t>
  </si>
  <si>
    <t>Higher time</t>
  </si>
  <si>
    <t>Higher time (adjusted)</t>
  </si>
  <si>
    <t>I (lower time)</t>
  </si>
  <si>
    <t>I (higher time)</t>
  </si>
  <si>
    <t>Assuming Power vs time is linear on a log-log plot</t>
  </si>
  <si>
    <t>a</t>
  </si>
  <si>
    <t>m</t>
  </si>
  <si>
    <t>&lt;-- Cannot plot zero on a log graph. If slope ~=0, then use 1e-12 as value</t>
  </si>
  <si>
    <t>Extr. I</t>
  </si>
  <si>
    <t>Interpolated Power=</t>
  </si>
  <si>
    <t>board hot?</t>
  </si>
  <si>
    <t>Derating factor =</t>
  </si>
  <si>
    <t>Temp for derating</t>
  </si>
  <si>
    <t xml:space="preserve">Max Power with Temp Derating = </t>
  </si>
  <si>
    <t>SOA Coefficients</t>
  </si>
  <si>
    <t>0.1 to 1 ms</t>
  </si>
  <si>
    <t>1 to 10ms</t>
  </si>
  <si>
    <t>10ms to 100 ms</t>
  </si>
  <si>
    <t>100 ms to 1s</t>
  </si>
  <si>
    <t>t1</t>
  </si>
  <si>
    <t>t2</t>
  </si>
  <si>
    <t>MOSFET's SOA</t>
  </si>
  <si>
    <r>
      <rPr>
        <rFont val="Arial"/>
        <b/>
        <color theme="1"/>
        <sz val="10.0"/>
      </rPr>
      <t>V</t>
    </r>
    <r>
      <rPr>
        <rFont val="Arial"/>
        <b/>
        <color theme="1"/>
        <sz val="10.0"/>
        <vertAlign val="subscript"/>
      </rPr>
      <t>DS</t>
    </r>
  </si>
  <si>
    <r>
      <rPr>
        <rFont val="Arial"/>
        <b/>
        <color theme="1"/>
        <sz val="10.0"/>
      </rPr>
      <t>I</t>
    </r>
    <r>
      <rPr>
        <rFont val="Arial"/>
        <b/>
        <color theme="1"/>
        <sz val="10.0"/>
        <vertAlign val="subscript"/>
      </rPr>
      <t>D</t>
    </r>
  </si>
  <si>
    <t>(V)</t>
  </si>
  <si>
    <t>(A)</t>
  </si>
  <si>
    <t xml:space="preserve">Key Equations for SOA margin estimate: </t>
  </si>
  <si>
    <t>1) Get total Energy = 1/2 CV^2 + E_load (t_worksheet) * t_start / t_ worksheet</t>
  </si>
  <si>
    <t xml:space="preserve">     note:  t_worksheet is the start time from the start-up worksheet.  E_load = Total Energy @ Start-up - 1/2CV^2</t>
  </si>
  <si>
    <t>2) Get peak power:  4 Possible points with peak power</t>
  </si>
  <si>
    <t xml:space="preserve">      a) At Vin = 0 [mainly if there is no load or constant current load that starts at Vout = 0=</t>
  </si>
  <si>
    <t xml:space="preserve">      b) At Vin = Load start [ constant current=</t>
  </si>
  <si>
    <t xml:space="preserve">      c) When derivative of power = 0  [Peak, applies to resistive loads only=</t>
  </si>
  <si>
    <t xml:space="preserve">                </t>
  </si>
  <si>
    <t xml:space="preserve"> P = (I_cap + Vout/R ) * (Vin - Vout) = Icap * Vin - Icap * Vout +Vin * Vout / R - Vout^2 / R </t>
  </si>
  <si>
    <t xml:space="preserve"> =&gt;  dP/dVout =  -Icap + Vin/R -2Vout /R ;  Zero when Vout = -R*I_cap / 2 + Vin / 2</t>
  </si>
  <si>
    <t>Copied Inputs</t>
  </si>
  <si>
    <t>Temp_start_up</t>
  </si>
  <si>
    <t>SOA margin target</t>
  </si>
  <si>
    <t>Cap Energy (J)</t>
  </si>
  <si>
    <t>E_load (t_worksheet)  (J)</t>
  </si>
  <si>
    <t>t_worksheet (ms)</t>
  </si>
  <si>
    <t>Initial</t>
  </si>
  <si>
    <t>Max Target Iinr during start-up (A)</t>
  </si>
  <si>
    <t xml:space="preserve">max slew rate </t>
  </si>
  <si>
    <t>Upper bound Slew Rate (4ms start-up) (V/ms)</t>
  </si>
  <si>
    <t>min slew rate</t>
  </si>
  <si>
    <t>Min Slew Rate (400 ms start - up) (V/ms)</t>
  </si>
  <si>
    <t># of points</t>
  </si>
  <si>
    <t>mult per point</t>
  </si>
  <si>
    <t>Note: For dv/dt keep inrush to be 3x lower than plim</t>
  </si>
  <si>
    <t>slew rate (V/ms)</t>
  </si>
  <si>
    <t>t_start (ms)</t>
  </si>
  <si>
    <t>I_cap (A)</t>
  </si>
  <si>
    <t>Total FET Energy (J)</t>
  </si>
  <si>
    <t>Power (Vout= 0) , (W)</t>
  </si>
  <si>
    <t>Power (load on), (W)</t>
  </si>
  <si>
    <t>Vout (dP/dVout = 0) (V)</t>
  </si>
  <si>
    <t xml:space="preserve">Power (@ Vout above, if applicable) </t>
  </si>
  <si>
    <t>max power (W)</t>
  </si>
  <si>
    <t>Equivalent time for SOA (ms)</t>
  </si>
  <si>
    <t>Available SOA (W)</t>
  </si>
  <si>
    <t>Derated for Temp</t>
  </si>
  <si>
    <t>SOA Margin</t>
  </si>
  <si>
    <t xml:space="preserve">Pass? </t>
  </si>
  <si>
    <t>N</t>
  </si>
  <si>
    <t>first yes</t>
  </si>
  <si>
    <t>2nd yes</t>
  </si>
  <si>
    <t>Mult 1</t>
  </si>
  <si>
    <t>mult2</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</si>
</sst>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d/yyyy"/>
    <numFmt numFmtId="165" formatCode="0.0"/>
    <numFmt numFmtId="166" formatCode="0.000"/>
    <numFmt numFmtId="167" formatCode="##0.00E+0"/>
  </numFmts>
  <fonts count="53">
    <font>
      <sz val="10.0"/>
      <color rgb="FF000000"/>
      <name val="Arial"/>
      <scheme val="minor"/>
    </font>
    <font>
      <sz val="10.0"/>
      <color theme="1"/>
      <name val="Arial"/>
    </font>
    <font>
      <b/>
      <sz val="24.0"/>
      <color theme="1"/>
      <name val="Arial"/>
    </font>
    <font>
      <sz val="12.0"/>
      <color theme="1"/>
      <name val="Open Sans"/>
    </font>
    <font>
      <b/>
      <sz val="18.0"/>
      <color theme="1"/>
      <name val="Arial"/>
    </font>
    <font>
      <b/>
      <i/>
      <sz val="16.0"/>
      <color theme="1"/>
      <name val="Arial"/>
    </font>
    <font>
      <b/>
      <i/>
      <sz val="11.0"/>
      <color theme="1"/>
      <name val="Arial"/>
    </font>
    <font>
      <u/>
      <sz val="10.0"/>
      <color rgb="FF0000FF"/>
      <name val="Arial"/>
    </font>
    <font/>
    <font>
      <u/>
      <sz val="10.0"/>
      <color rgb="FF0000FF"/>
      <name val="Arial"/>
    </font>
    <font>
      <b/>
      <i/>
      <sz val="10.0"/>
      <color theme="1"/>
      <name val="Arial"/>
    </font>
    <font>
      <sz val="11.0"/>
      <color rgb="FF000000"/>
      <name val="Arial"/>
    </font>
    <font>
      <sz val="24.0"/>
      <color rgb="FFFFFFFF"/>
      <name val="Arial"/>
    </font>
    <font>
      <sz val="26.0"/>
      <color rgb="FFFFFFFF"/>
      <name val="Arial"/>
    </font>
    <font>
      <sz val="10.0"/>
      <color rgb="FFFFFFFF"/>
      <name val="Calibri"/>
    </font>
    <font>
      <sz val="10.0"/>
      <color theme="1"/>
      <name val="Calibri"/>
    </font>
    <font>
      <u/>
      <sz val="10.0"/>
      <color rgb="FFFFFFFF"/>
      <name val="Arial"/>
    </font>
    <font>
      <b/>
      <sz val="12.0"/>
      <color rgb="FFFF0000"/>
      <name val="Calibri"/>
    </font>
    <font>
      <sz val="10.0"/>
      <color rgb="FF969696"/>
      <name val="Arial"/>
    </font>
    <font>
      <sz val="10.0"/>
      <color rgb="FFFF0000"/>
      <name val="Arial"/>
    </font>
    <font>
      <b/>
      <sz val="11.0"/>
      <color theme="1"/>
      <name val="Arial"/>
    </font>
    <font>
      <sz val="12.0"/>
      <color theme="1"/>
      <name val="Arial"/>
    </font>
    <font>
      <b/>
      <u/>
      <sz val="12.0"/>
      <color rgb="FFFF0000"/>
      <name val="Arial"/>
    </font>
    <font>
      <u/>
      <sz val="12.0"/>
      <color rgb="FF0000FF"/>
      <name val="Arial"/>
    </font>
    <font>
      <u/>
      <sz val="12.0"/>
      <color rgb="FF0000FF"/>
      <name val="Arial"/>
    </font>
    <font>
      <sz val="12.0"/>
      <color rgb="FFFF0000"/>
      <name val="Arial"/>
    </font>
    <font>
      <u/>
      <sz val="12.0"/>
      <color rgb="FF0000FF"/>
      <name val="Arial"/>
    </font>
    <font>
      <u/>
      <sz val="12.0"/>
      <color rgb="FF0000FF"/>
      <name val="Arial"/>
    </font>
    <font>
      <sz val="12.0"/>
      <color rgb="FF0000FF"/>
      <name val="Arial"/>
    </font>
    <font>
      <u/>
      <sz val="11.0"/>
      <color rgb="FF0000FF"/>
      <name val="Arial"/>
    </font>
    <font>
      <u/>
      <sz val="10.0"/>
      <color rgb="FF0000FF"/>
      <name val="Arial"/>
    </font>
    <font>
      <b/>
      <sz val="11.0"/>
      <color rgb="FF0000FF"/>
      <name val="Arial"/>
    </font>
    <font>
      <vertAlign val="superscript"/>
      <sz val="10.0"/>
      <color theme="1"/>
      <name val="Arial"/>
    </font>
    <font>
      <u/>
      <sz val="10.0"/>
      <color rgb="FF0000FF"/>
      <name val="Arial"/>
    </font>
    <font>
      <sz val="10.0"/>
      <color theme="1"/>
      <name val="Noto Sans Symbols"/>
    </font>
    <font>
      <u/>
      <sz val="10.0"/>
      <color rgb="FF0000FF"/>
      <name val="Arial"/>
    </font>
    <font>
      <sz val="10.0"/>
      <color rgb="FF000000"/>
      <name val="Arial"/>
    </font>
    <font>
      <b/>
      <sz val="10.0"/>
      <color theme="1"/>
      <name val="Arial"/>
    </font>
    <font>
      <b/>
      <sz val="9.0"/>
      <color rgb="FFFF0000"/>
      <name val="Arial"/>
    </font>
    <font>
      <u/>
      <sz val="10.0"/>
      <color rgb="FF0000FF"/>
      <name val="Arial"/>
    </font>
    <font>
      <b/>
      <u/>
      <sz val="10.0"/>
      <color rgb="FFFF0000"/>
      <name val="Arial"/>
    </font>
    <font>
      <u/>
      <sz val="10.0"/>
      <color rgb="FF0000FF"/>
      <name val="Arial"/>
    </font>
    <font>
      <b/>
      <sz val="10.0"/>
      <color rgb="FFFF0000"/>
      <name val="Arial"/>
    </font>
    <font>
      <b/>
      <u/>
      <sz val="10.0"/>
      <color theme="1"/>
      <name val="Arial"/>
    </font>
    <font>
      <u/>
      <sz val="10.0"/>
      <color theme="1"/>
      <name val="Arial"/>
    </font>
    <font>
      <b/>
      <u/>
      <sz val="10.0"/>
      <color theme="1"/>
      <name val="Arial"/>
    </font>
    <font>
      <b/>
      <u/>
      <sz val="10.0"/>
      <color theme="1"/>
      <name val="Noto Sans Symbols"/>
    </font>
    <font>
      <b/>
      <u/>
      <sz val="10.0"/>
      <color theme="1"/>
      <name val="Arial"/>
    </font>
    <font>
      <u/>
      <sz val="10.0"/>
      <color theme="1"/>
      <name val="Arial"/>
    </font>
    <font>
      <u/>
      <sz val="10.0"/>
      <color theme="1"/>
      <name val="Arial"/>
    </font>
    <font>
      <sz val="11.0"/>
      <color rgb="FF000000"/>
      <name val="Calibri"/>
    </font>
    <font>
      <u/>
      <sz val="10.0"/>
      <color theme="1"/>
      <name val="Arial"/>
    </font>
    <font>
      <u/>
      <sz val="10.0"/>
      <color theme="1"/>
      <name val="Arial"/>
    </font>
  </fonts>
  <fills count="10">
    <fill>
      <patternFill patternType="none"/>
    </fill>
    <fill>
      <patternFill patternType="lightGray"/>
    </fill>
    <fill>
      <patternFill patternType="solid">
        <fgColor rgb="FFFFFF00"/>
        <bgColor rgb="FFFFFF00"/>
      </patternFill>
    </fill>
    <fill>
      <patternFill patternType="solid">
        <fgColor rgb="FFFF0000"/>
        <bgColor rgb="FFFF0000"/>
      </patternFill>
    </fill>
    <fill>
      <patternFill patternType="solid">
        <fgColor rgb="FFFFFFFF"/>
        <bgColor rgb="FFFFFFFF"/>
      </patternFill>
    </fill>
    <fill>
      <patternFill patternType="solid">
        <fgColor rgb="FFC3D69B"/>
        <bgColor rgb="FFC3D69B"/>
      </patternFill>
    </fill>
    <fill>
      <patternFill patternType="solid">
        <fgColor rgb="FFD9D9D9"/>
        <bgColor rgb="FFD9D9D9"/>
      </patternFill>
    </fill>
    <fill>
      <patternFill patternType="solid">
        <fgColor rgb="FFD99694"/>
        <bgColor rgb="FFD99694"/>
      </patternFill>
    </fill>
    <fill>
      <patternFill patternType="solid">
        <fgColor rgb="FF8064A2"/>
        <bgColor rgb="FF8064A2"/>
      </patternFill>
    </fill>
    <fill>
      <patternFill patternType="solid">
        <fgColor rgb="FFBFBFBF"/>
        <bgColor rgb="FFBFBFBF"/>
      </patternFill>
    </fill>
  </fills>
  <borders count="82">
    <border/>
    <border>
      <left style="thick">
        <color rgb="FF0000FF"/>
      </left>
      <right/>
      <top style="thick">
        <color rgb="FF0000FF"/>
      </top>
      <bottom/>
    </border>
    <border>
      <left/>
      <right/>
      <top style="thick">
        <color rgb="FF0000FF"/>
      </top>
      <bottom/>
    </border>
    <border>
      <left/>
      <right style="thick">
        <color rgb="FF0000FF"/>
      </right>
      <top style="thick">
        <color rgb="FF0000FF"/>
      </top>
      <bottom/>
    </border>
    <border>
      <left style="thick">
        <color rgb="FF0000FF"/>
      </left>
      <right/>
      <top/>
      <bottom/>
    </border>
    <border>
      <left/>
      <right/>
      <top/>
      <bottom/>
    </border>
    <border>
      <left/>
      <right style="thick">
        <color rgb="FF0000FF"/>
      </right>
      <top/>
      <bottom/>
    </border>
    <border>
      <left/>
      <top/>
      <bottom/>
    </border>
    <border>
      <top/>
      <bottom/>
    </border>
    <border>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thick">
        <color rgb="FF0000FF"/>
      </left>
      <right/>
      <top/>
      <bottom style="thick">
        <color rgb="FF0000FF"/>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ttom style="thick">
        <color rgb="FF0000FF"/>
      </bottom>
    </border>
    <border>
      <left/>
      <right style="thick">
        <color rgb="FF0000FF"/>
      </right>
      <top/>
      <bottom style="thick">
        <color rgb="FF0000FF"/>
      </bottom>
    </border>
    <border>
      <left style="medium">
        <color rgb="FF000000"/>
      </left>
      <top style="medium">
        <color rgb="FF000000"/>
      </top>
      <bottom/>
    </border>
    <border>
      <top style="medium">
        <color rgb="FF000000"/>
      </top>
      <bottom/>
    </border>
    <border>
      <right/>
      <top style="medium">
        <color rgb="FF000000"/>
      </top>
      <bottom/>
    </border>
    <border>
      <left/>
      <right/>
      <top style="medium">
        <color rgb="FF000000"/>
      </top>
      <bottom/>
    </border>
    <border>
      <left style="thin">
        <color rgb="FF000000"/>
      </left>
      <right style="thin">
        <color rgb="FF000000"/>
      </right>
      <top style="thin">
        <color rgb="FF000000"/>
      </top>
      <bottom style="thin">
        <color rgb="FF000000"/>
      </bottom>
    </border>
    <border>
      <left style="thin">
        <color rgb="FF000000"/>
      </left>
      <top/>
    </border>
    <border>
      <right/>
      <top/>
    </border>
    <border>
      <left style="thin">
        <color rgb="FF000000"/>
      </left>
      <bottom/>
    </border>
    <border>
      <right/>
      <bottom/>
    </border>
    <border>
      <left style="medium">
        <color rgb="FF000000"/>
      </left>
      <right/>
      <top style="medium">
        <color rgb="FF000000"/>
      </top>
      <bottom/>
    </border>
    <border>
      <left/>
      <top style="medium">
        <color rgb="FF000000"/>
      </top>
    </border>
    <border>
      <right/>
      <top style="medium">
        <color rgb="FF000000"/>
      </top>
    </border>
    <border>
      <left/>
      <right style="medium">
        <color rgb="FF000000"/>
      </right>
      <top style="medium">
        <color rgb="FF000000"/>
      </top>
      <bottom/>
    </border>
    <border>
      <left style="medium">
        <color rgb="FF000000"/>
      </left>
      <right/>
      <top/>
      <bottom/>
    </border>
    <border>
      <left/>
      <bottom/>
    </border>
    <border>
      <bottom/>
    </border>
    <border>
      <left/>
      <right style="medium">
        <color rgb="FF000000"/>
      </right>
      <top/>
      <bottom/>
    </border>
    <border>
      <left style="medium">
        <color rgb="FF000000"/>
      </left>
      <right/>
      <top/>
    </border>
    <border>
      <left style="medium">
        <color rgb="FF000000"/>
      </left>
      <right/>
    </border>
    <border>
      <left style="medium">
        <color rgb="FF000000"/>
      </left>
      <right/>
      <bottom/>
    </border>
    <border>
      <left style="medium">
        <color rgb="FF808080"/>
      </left>
      <top style="medium">
        <color rgb="FF808080"/>
      </top>
      <bottom style="medium">
        <color rgb="FF808080"/>
      </bottom>
    </border>
    <border>
      <top style="medium">
        <color rgb="FF808080"/>
      </top>
      <bottom style="medium">
        <color rgb="FF808080"/>
      </bottom>
    </border>
    <border>
      <right style="medium">
        <color rgb="FF808080"/>
      </right>
      <top style="medium">
        <color rgb="FF808080"/>
      </top>
      <bottom style="medium">
        <color rgb="FF808080"/>
      </bottom>
    </border>
    <border>
      <left/>
      <right style="medium">
        <color rgb="FF808080"/>
      </right>
      <top style="medium">
        <color rgb="FF808080"/>
      </top>
      <bottom style="medium">
        <color rgb="FF808080"/>
      </bottom>
    </border>
    <border>
      <left style="medium">
        <color rgb="FF808080"/>
      </left>
      <right style="medium">
        <color rgb="FF808080"/>
      </right>
      <top style="medium">
        <color rgb="FF808080"/>
      </top>
      <bottom style="medium">
        <color rgb="FF808080"/>
      </bottom>
    </border>
    <border>
      <left/>
      <top/>
    </border>
    <border>
      <top/>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medium">
        <color rgb="FF000000"/>
      </bottom>
    </border>
    <border>
      <left style="thin">
        <color rgb="FF000000"/>
      </left>
      <right style="thin">
        <color rgb="FF000000"/>
      </right>
      <top/>
      <bottom style="medium">
        <color rgb="FF000000"/>
      </bottom>
    </border>
    <border>
      <left style="thin">
        <color rgb="FF000000"/>
      </left>
      <right/>
      <top/>
      <bottom/>
    </border>
    <border>
      <left/>
      <bottom style="medium">
        <color rgb="FF000000"/>
      </bottom>
    </border>
    <border>
      <right/>
      <bottom style="medium">
        <color rgb="FF000000"/>
      </bottom>
    </border>
    <border>
      <left style="medium">
        <color rgb="FF000000"/>
      </left>
      <top/>
    </border>
    <border>
      <right/>
    </border>
    <border>
      <left style="thin">
        <color rgb="FF000000"/>
      </left>
      <right style="thin">
        <color rgb="FF000000"/>
      </right>
    </border>
    <border>
      <left style="medium">
        <color rgb="FF000000"/>
      </left>
      <bottom/>
    </border>
    <border>
      <left style="thin">
        <color rgb="FF000000"/>
      </left>
      <right style="thin">
        <color rgb="FF000000"/>
      </right>
      <top/>
      <bottom style="thin">
        <color rgb="FF000000"/>
      </bottom>
    </border>
    <border>
      <left/>
      <right style="thin">
        <color rgb="FF000000"/>
      </right>
      <top/>
      <bottom/>
    </border>
    <border>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right style="thin">
        <color rgb="FF000000"/>
      </right>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41">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5" fillId="2" fontId="2" numFmtId="0" xfId="0" applyBorder="1" applyFont="1"/>
    <xf borderId="5" fillId="2" fontId="3" numFmtId="0" xfId="0" applyBorder="1" applyFont="1"/>
    <xf borderId="5" fillId="2" fontId="4" numFmtId="0" xfId="0" applyBorder="1" applyFont="1"/>
    <xf borderId="5" fillId="2" fontId="5" numFmtId="0" xfId="0" applyBorder="1" applyFont="1"/>
    <xf borderId="5" fillId="2" fontId="6" numFmtId="0" xfId="0" applyBorder="1" applyFont="1"/>
    <xf borderId="5" fillId="2" fontId="6" numFmtId="0" xfId="0" applyAlignment="1" applyBorder="1" applyFont="1">
      <alignment shrinkToFit="0" wrapText="1"/>
    </xf>
    <xf borderId="7" fillId="2" fontId="7" numFmtId="0" xfId="0" applyAlignment="1" applyBorder="1" applyFont="1">
      <alignment horizontal="left"/>
    </xf>
    <xf borderId="8" fillId="0" fontId="8" numFmtId="0" xfId="0" applyBorder="1" applyFont="1"/>
    <xf borderId="9" fillId="0" fontId="8" numFmtId="0" xfId="0" applyBorder="1" applyFont="1"/>
    <xf borderId="7" fillId="2" fontId="9" numFmtId="0" xfId="0" applyBorder="1" applyFont="1"/>
    <xf borderId="5" fillId="2" fontId="10" numFmtId="0" xfId="0" applyAlignment="1" applyBorder="1" applyFont="1">
      <alignment vertical="center"/>
    </xf>
    <xf borderId="5" fillId="2" fontId="10" numFmtId="0" xfId="0" applyBorder="1" applyFont="1"/>
    <xf borderId="10" fillId="0" fontId="11" numFmtId="0" xfId="0" applyAlignment="1" applyBorder="1" applyFont="1">
      <alignment horizontal="center" shrinkToFit="0" vertical="center" wrapText="1"/>
    </xf>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15" fillId="2" fontId="1" numFmtId="0" xfId="0" applyBorder="1" applyFont="1"/>
    <xf borderId="16" fillId="0" fontId="8" numFmtId="0" xfId="0" applyBorder="1" applyFont="1"/>
    <xf borderId="17" fillId="0" fontId="8" numFmtId="0" xfId="0" applyBorder="1" applyFont="1"/>
    <xf borderId="18" fillId="0" fontId="8" numFmtId="0" xfId="0" applyBorder="1" applyFont="1"/>
    <xf borderId="19" fillId="2" fontId="1" numFmtId="0" xfId="0" applyBorder="1" applyFont="1"/>
    <xf borderId="20" fillId="2" fontId="1" numFmtId="0" xfId="0" applyBorder="1" applyFont="1"/>
    <xf borderId="0" fillId="0" fontId="1" numFmtId="0" xfId="0" applyFont="1"/>
    <xf borderId="21" fillId="3" fontId="12" numFmtId="0" xfId="0" applyAlignment="1" applyBorder="1" applyFill="1" applyFont="1">
      <alignment horizontal="left" vertical="center"/>
    </xf>
    <xf borderId="22" fillId="0" fontId="8" numFmtId="0" xfId="0" applyBorder="1" applyFont="1"/>
    <xf borderId="23" fillId="0" fontId="8" numFmtId="0" xfId="0" applyBorder="1" applyFont="1"/>
    <xf borderId="24" fillId="4" fontId="13" numFmtId="0" xfId="0" applyAlignment="1" applyBorder="1" applyFill="1" applyFont="1">
      <alignment horizontal="center" vertical="center"/>
    </xf>
    <xf borderId="5" fillId="4" fontId="14" numFmtId="0" xfId="0" applyBorder="1" applyFont="1"/>
    <xf borderId="5" fillId="4" fontId="15" numFmtId="0" xfId="0" applyBorder="1" applyFont="1"/>
    <xf borderId="0" fillId="0" fontId="15" numFmtId="0" xfId="0" applyFont="1"/>
    <xf borderId="5" fillId="4" fontId="1" numFmtId="0" xfId="0" applyBorder="1" applyFont="1"/>
    <xf borderId="5" fillId="4" fontId="16" numFmtId="0" xfId="0" applyBorder="1" applyFont="1"/>
    <xf borderId="5" fillId="4" fontId="1" numFmtId="0" xfId="0" applyAlignment="1" applyBorder="1" applyFont="1">
      <alignment horizontal="center"/>
    </xf>
    <xf borderId="7" fillId="4" fontId="17" numFmtId="0" xfId="0" applyAlignment="1" applyBorder="1" applyFont="1">
      <alignment horizontal="center" vertical="center"/>
    </xf>
    <xf borderId="5" fillId="4" fontId="18" numFmtId="0" xfId="0" applyAlignment="1" applyBorder="1" applyFont="1">
      <alignment horizontal="left"/>
    </xf>
    <xf borderId="25" fillId="5" fontId="1" numFmtId="0" xfId="0" applyAlignment="1" applyBorder="1" applyFill="1" applyFont="1">
      <alignment horizontal="center"/>
    </xf>
    <xf borderId="0" fillId="0" fontId="1" numFmtId="0" xfId="0" applyAlignment="1" applyFont="1">
      <alignment horizontal="center"/>
    </xf>
    <xf borderId="5" fillId="4" fontId="18" numFmtId="164" xfId="0" applyAlignment="1" applyBorder="1" applyFont="1" applyNumberFormat="1">
      <alignment horizontal="left"/>
    </xf>
    <xf borderId="25" fillId="4" fontId="1" numFmtId="0" xfId="0" applyAlignment="1" applyBorder="1" applyFont="1">
      <alignment horizontal="center"/>
    </xf>
    <xf borderId="25" fillId="2" fontId="1" numFmtId="0" xfId="0" applyAlignment="1" applyBorder="1" applyFont="1">
      <alignment horizontal="center"/>
    </xf>
    <xf borderId="26" fillId="4" fontId="1" numFmtId="0" xfId="0" applyAlignment="1" applyBorder="1" applyFont="1">
      <alignment horizontal="left" shrinkToFit="0" vertical="center" wrapText="1"/>
    </xf>
    <xf borderId="27" fillId="0" fontId="8" numFmtId="0" xfId="0" applyBorder="1" applyFont="1"/>
    <xf borderId="25" fillId="3" fontId="19" numFmtId="0" xfId="0" applyAlignment="1" applyBorder="1" applyFont="1">
      <alignment horizontal="center"/>
    </xf>
    <xf borderId="28" fillId="0" fontId="8" numFmtId="0" xfId="0" applyBorder="1" applyFont="1"/>
    <xf borderId="29" fillId="0" fontId="8" numFmtId="0" xfId="0" applyBorder="1" applyFont="1"/>
    <xf borderId="5" fillId="4" fontId="19" numFmtId="0" xfId="0" applyAlignment="1" applyBorder="1" applyFont="1">
      <alignment horizontal="center"/>
    </xf>
    <xf borderId="5" fillId="4" fontId="1" numFmtId="0" xfId="0" applyAlignment="1" applyBorder="1" applyFont="1">
      <alignment horizontal="left" shrinkToFit="0" vertical="center" wrapText="1"/>
    </xf>
    <xf borderId="30" fillId="6" fontId="20" numFmtId="0" xfId="0" applyBorder="1" applyFill="1" applyFont="1"/>
    <xf borderId="24" fillId="4" fontId="21" numFmtId="0" xfId="0" applyBorder="1" applyFont="1"/>
    <xf borderId="31" fillId="4" fontId="22" numFmtId="0" xfId="0" applyAlignment="1" applyBorder="1" applyFont="1">
      <alignment horizontal="left" shrinkToFit="0" wrapText="1"/>
    </xf>
    <xf borderId="32" fillId="0" fontId="8" numFmtId="0" xfId="0" applyBorder="1" applyFont="1"/>
    <xf borderId="24" fillId="4" fontId="23" numFmtId="0" xfId="0" applyAlignment="1" applyBorder="1" applyFont="1">
      <alignment shrinkToFit="0" wrapText="1"/>
    </xf>
    <xf borderId="24" fillId="4" fontId="1" numFmtId="0" xfId="0" applyBorder="1" applyFont="1"/>
    <xf borderId="33" fillId="4" fontId="1" numFmtId="0" xfId="0" applyBorder="1" applyFont="1"/>
    <xf borderId="34" fillId="4" fontId="20" numFmtId="0" xfId="0" applyBorder="1" applyFont="1"/>
    <xf borderId="5" fillId="4" fontId="21" numFmtId="0" xfId="0" applyBorder="1" applyFont="1"/>
    <xf borderId="35" fillId="0" fontId="8" numFmtId="0" xfId="0" applyBorder="1" applyFont="1"/>
    <xf borderId="36" fillId="0" fontId="8" numFmtId="0" xfId="0" applyBorder="1" applyFont="1"/>
    <xf borderId="5" fillId="4" fontId="24" numFmtId="0" xfId="0" applyAlignment="1" applyBorder="1" applyFont="1">
      <alignment horizontal="left" shrinkToFit="0" wrapText="1"/>
    </xf>
    <xf borderId="37" fillId="4" fontId="1" numFmtId="0" xfId="0" applyBorder="1" applyFont="1"/>
    <xf borderId="38" fillId="4" fontId="25" numFmtId="0" xfId="0" applyAlignment="1" applyBorder="1" applyFont="1">
      <alignment horizontal="left" shrinkToFit="0" vertical="top" wrapText="1"/>
    </xf>
    <xf borderId="7" fillId="4" fontId="26" numFmtId="0" xfId="0" applyAlignment="1" applyBorder="1" applyFont="1">
      <alignment horizontal="left"/>
    </xf>
    <xf borderId="5" fillId="4" fontId="27" numFmtId="0" xfId="0" applyAlignment="1" applyBorder="1" applyFont="1">
      <alignment horizontal="left"/>
    </xf>
    <xf borderId="39" fillId="0" fontId="8" numFmtId="0" xfId="0" applyBorder="1" applyFont="1"/>
    <xf borderId="40" fillId="0" fontId="8" numFmtId="0" xfId="0" applyBorder="1" applyFont="1"/>
    <xf borderId="34" fillId="4" fontId="28" numFmtId="0" xfId="0" applyAlignment="1" applyBorder="1" applyFont="1">
      <alignment shrinkToFit="0" vertical="top" wrapText="1"/>
    </xf>
    <xf borderId="5" fillId="4" fontId="29" numFmtId="0" xfId="0" applyBorder="1" applyFont="1"/>
    <xf borderId="5" fillId="4" fontId="21" numFmtId="0" xfId="0" applyAlignment="1" applyBorder="1" applyFont="1">
      <alignment horizontal="right" vertical="center"/>
    </xf>
    <xf borderId="34" fillId="4" fontId="1" numFmtId="0" xfId="0" applyBorder="1" applyFont="1"/>
    <xf borderId="5" fillId="4" fontId="1" numFmtId="0" xfId="0" applyAlignment="1" applyBorder="1" applyFont="1">
      <alignment horizontal="right" vertical="center"/>
    </xf>
    <xf borderId="41" fillId="2" fontId="20" numFmtId="0" xfId="0" applyAlignment="1" applyBorder="1" applyFont="1">
      <alignment horizontal="left" shrinkToFit="0" vertical="top" wrapText="1"/>
    </xf>
    <xf borderId="42" fillId="0" fontId="8" numFmtId="0" xfId="0" applyBorder="1" applyFont="1"/>
    <xf borderId="43" fillId="0" fontId="8" numFmtId="0" xfId="0" applyBorder="1" applyFont="1"/>
    <xf borderId="44" fillId="5" fontId="6" numFmtId="0" xfId="0" applyAlignment="1" applyBorder="1" applyFont="1">
      <alignment horizontal="center" vertical="top"/>
    </xf>
    <xf borderId="41" fillId="2" fontId="20" numFmtId="0" xfId="0" applyAlignment="1" applyBorder="1" applyFont="1">
      <alignment horizontal="left" shrinkToFit="0" wrapText="1"/>
    </xf>
    <xf borderId="45" fillId="5" fontId="6" numFmtId="0" xfId="0" applyAlignment="1" applyBorder="1" applyFont="1">
      <alignment horizontal="center" vertical="top"/>
    </xf>
    <xf borderId="46" fillId="4" fontId="30" numFmtId="0" xfId="0" applyAlignment="1" applyBorder="1" applyFont="1">
      <alignment horizontal="left" shrinkToFit="0" wrapText="1"/>
    </xf>
    <xf borderId="47" fillId="0" fontId="8" numFmtId="0" xfId="0" applyBorder="1" applyFont="1"/>
    <xf borderId="5" fillId="4" fontId="1" numFmtId="0" xfId="0" applyAlignment="1" applyBorder="1" applyFont="1">
      <alignment horizontal="center" vertical="center"/>
    </xf>
    <xf borderId="48" fillId="4" fontId="1" numFmtId="0" xfId="0" applyBorder="1" applyFont="1"/>
    <xf borderId="49" fillId="4" fontId="1" numFmtId="0" xfId="0" applyBorder="1" applyFont="1"/>
    <xf borderId="49" fillId="4" fontId="1" numFmtId="0" xfId="0" applyAlignment="1" applyBorder="1" applyFont="1">
      <alignment shrinkToFit="0" vertical="top" wrapText="1"/>
    </xf>
    <xf borderId="49" fillId="4" fontId="1" numFmtId="0" xfId="0" applyAlignment="1" applyBorder="1" applyFont="1">
      <alignment horizontal="center" vertical="center"/>
    </xf>
    <xf borderId="50" fillId="4" fontId="1" numFmtId="0" xfId="0" applyBorder="1" applyFont="1"/>
    <xf borderId="24" fillId="4" fontId="1" numFmtId="0" xfId="0" applyAlignment="1" applyBorder="1" applyFont="1">
      <alignment horizontal="right" vertical="center"/>
    </xf>
    <xf borderId="51" fillId="5" fontId="1" numFmtId="0" xfId="0" applyAlignment="1" applyBorder="1" applyFont="1">
      <alignment horizontal="center" vertical="center"/>
    </xf>
    <xf borderId="52" fillId="4" fontId="1" numFmtId="0" xfId="0" applyAlignment="1" applyBorder="1" applyFont="1">
      <alignment horizontal="center" vertical="center"/>
    </xf>
    <xf borderId="34" fillId="4" fontId="31" numFmtId="0" xfId="0" applyBorder="1" applyFont="1"/>
    <xf borderId="25" fillId="5" fontId="1" numFmtId="0" xfId="0" applyAlignment="1" applyBorder="1" applyFont="1">
      <alignment horizontal="center" vertical="center"/>
    </xf>
    <xf borderId="53" fillId="4" fontId="1" numFmtId="0" xfId="0" applyAlignment="1" applyBorder="1" applyFont="1">
      <alignment horizontal="center" vertical="center"/>
    </xf>
    <xf borderId="54" fillId="5" fontId="1" numFmtId="0" xfId="0" applyAlignment="1" applyBorder="1" applyFont="1">
      <alignment horizontal="center" vertical="center"/>
    </xf>
    <xf borderId="53" fillId="4" fontId="32" numFmtId="0" xfId="0" applyAlignment="1" applyBorder="1" applyFont="1">
      <alignment horizontal="center" vertical="center"/>
    </xf>
    <xf borderId="38" fillId="4" fontId="33" numFmtId="0" xfId="0" applyAlignment="1" applyBorder="1" applyFont="1">
      <alignment horizontal="left" shrinkToFit="0" wrapText="1"/>
    </xf>
    <xf borderId="54" fillId="4" fontId="1" numFmtId="0" xfId="0" applyAlignment="1" applyBorder="1" applyFont="1">
      <alignment horizontal="center" vertical="center"/>
    </xf>
    <xf borderId="49" fillId="4" fontId="1" numFmtId="0" xfId="0" applyAlignment="1" applyBorder="1" applyFont="1">
      <alignment horizontal="right" vertical="center"/>
    </xf>
    <xf borderId="55" fillId="4" fontId="1" numFmtId="0" xfId="0" applyAlignment="1" applyBorder="1" applyFont="1">
      <alignment horizontal="center" vertical="center"/>
    </xf>
    <xf borderId="56" fillId="4" fontId="1" numFmtId="0" xfId="0" applyAlignment="1" applyBorder="1" applyFont="1">
      <alignment horizontal="center" vertical="center"/>
    </xf>
    <xf borderId="24" fillId="6" fontId="1" numFmtId="0" xfId="0" applyBorder="1" applyFont="1"/>
    <xf borderId="51" fillId="0" fontId="1" numFmtId="2" xfId="0" applyAlignment="1" applyBorder="1" applyFont="1" applyNumberFormat="1">
      <alignment horizontal="center" vertical="center"/>
    </xf>
    <xf borderId="25" fillId="0" fontId="1" numFmtId="0" xfId="0" applyAlignment="1" applyBorder="1" applyFont="1">
      <alignment horizontal="center" vertical="center"/>
    </xf>
    <xf borderId="53" fillId="4" fontId="34" numFmtId="0" xfId="0" applyAlignment="1" applyBorder="1" applyFont="1">
      <alignment horizontal="center" vertical="center"/>
    </xf>
    <xf borderId="57" fillId="4" fontId="1" numFmtId="0" xfId="0" applyBorder="1" applyFont="1"/>
    <xf borderId="25" fillId="0" fontId="1" numFmtId="2" xfId="0" applyAlignment="1" applyBorder="1" applyFont="1" applyNumberFormat="1">
      <alignment horizontal="center" vertical="center"/>
    </xf>
    <xf borderId="38" fillId="4" fontId="35" numFmtId="0" xfId="0" applyAlignment="1" applyBorder="1" applyFont="1">
      <alignment horizontal="left" shrinkToFit="0" vertical="top" wrapText="1"/>
    </xf>
    <xf borderId="5" fillId="2" fontId="1" numFmtId="0" xfId="0" applyAlignment="1" applyBorder="1" applyFont="1">
      <alignment horizontal="right" vertical="center"/>
    </xf>
    <xf borderId="25" fillId="4" fontId="1" numFmtId="165" xfId="0" applyAlignment="1" applyBorder="1" applyFont="1" applyNumberFormat="1">
      <alignment horizontal="center" vertical="center"/>
    </xf>
    <xf borderId="5" fillId="5" fontId="1" numFmtId="0" xfId="0" applyBorder="1" applyFont="1"/>
    <xf borderId="5" fillId="5" fontId="1" numFmtId="0" xfId="0" applyAlignment="1" applyBorder="1" applyFont="1">
      <alignment horizontal="right" vertical="center"/>
    </xf>
    <xf borderId="5" fillId="7" fontId="1" numFmtId="0" xfId="0" applyBorder="1" applyFill="1" applyFont="1"/>
    <xf borderId="5" fillId="7" fontId="1" numFmtId="0" xfId="0" applyAlignment="1" applyBorder="1" applyFont="1">
      <alignment horizontal="right" vertical="center"/>
    </xf>
    <xf borderId="54" fillId="4" fontId="1" numFmtId="165" xfId="0" applyAlignment="1" applyBorder="1" applyFont="1" applyNumberFormat="1">
      <alignment horizontal="center" vertical="center"/>
    </xf>
    <xf borderId="24" fillId="4" fontId="1" numFmtId="0" xfId="0" applyAlignment="1" applyBorder="1" applyFont="1">
      <alignment horizontal="right"/>
    </xf>
    <xf borderId="51" fillId="5" fontId="36" numFmtId="0" xfId="0" applyAlignment="1" applyBorder="1" applyFont="1">
      <alignment horizontal="center" vertical="center"/>
    </xf>
    <xf borderId="5" fillId="4" fontId="1" numFmtId="0" xfId="0" applyAlignment="1" applyBorder="1" applyFont="1">
      <alignment horizontal="right"/>
    </xf>
    <xf borderId="25" fillId="2" fontId="1" numFmtId="0" xfId="0" applyAlignment="1" applyBorder="1" applyFont="1">
      <alignment horizontal="center" vertical="center"/>
    </xf>
    <xf borderId="0" fillId="0" fontId="37" numFmtId="0" xfId="0" applyFont="1"/>
    <xf borderId="34" fillId="4" fontId="38" numFmtId="0" xfId="0" applyAlignment="1" applyBorder="1" applyFont="1">
      <alignment horizontal="left" shrinkToFit="0" vertical="top" wrapText="1"/>
    </xf>
    <xf borderId="25" fillId="5" fontId="1" numFmtId="165" xfId="0" applyAlignment="1" applyBorder="1" applyFont="1" applyNumberFormat="1">
      <alignment horizontal="center" vertical="center"/>
    </xf>
    <xf borderId="0" fillId="0" fontId="1" numFmtId="165" xfId="0" applyFont="1" applyNumberFormat="1"/>
    <xf borderId="34" fillId="4" fontId="39" numFmtId="0" xfId="0" applyAlignment="1" applyBorder="1" applyFont="1">
      <alignment horizontal="left"/>
    </xf>
    <xf borderId="25" fillId="0" fontId="1" numFmtId="165" xfId="0" applyAlignment="1" applyBorder="1" applyFont="1" applyNumberFormat="1">
      <alignment horizontal="center" vertical="center"/>
    </xf>
    <xf borderId="38" fillId="4" fontId="38" numFmtId="0" xfId="0" applyAlignment="1" applyBorder="1" applyFont="1">
      <alignment horizontal="left" shrinkToFit="0" vertical="top" wrapText="1"/>
    </xf>
    <xf borderId="25" fillId="4" fontId="1" numFmtId="2" xfId="0" applyAlignment="1" applyBorder="1" applyFont="1" applyNumberFormat="1">
      <alignment horizontal="center" vertical="center"/>
    </xf>
    <xf borderId="46" fillId="4" fontId="40" numFmtId="0" xfId="0" applyAlignment="1" applyBorder="1" applyFont="1">
      <alignment horizontal="left" shrinkToFit="0" vertical="top" wrapText="1"/>
    </xf>
    <xf borderId="58" fillId="0" fontId="8" numFmtId="0" xfId="0" applyBorder="1" applyFont="1"/>
    <xf borderId="59" fillId="0" fontId="8" numFmtId="0" xfId="0" applyBorder="1" applyFont="1"/>
    <xf borderId="13" fillId="0" fontId="1" numFmtId="0" xfId="0" applyBorder="1" applyFont="1"/>
    <xf borderId="25" fillId="4" fontId="1" numFmtId="9" xfId="0" applyAlignment="1" applyBorder="1" applyFont="1" applyNumberFormat="1">
      <alignment horizontal="center" vertical="center"/>
    </xf>
    <xf borderId="34" fillId="4" fontId="41" numFmtId="0" xfId="0" applyBorder="1" applyFont="1"/>
    <xf borderId="60" fillId="4" fontId="42" numFmtId="0" xfId="0" applyAlignment="1" applyBorder="1" applyFont="1">
      <alignment horizontal="left" shrinkToFit="0" vertical="top" wrapText="1"/>
    </xf>
    <xf borderId="0" fillId="0" fontId="1" numFmtId="0" xfId="0" applyAlignment="1" applyFont="1">
      <alignment horizontal="right"/>
    </xf>
    <xf borderId="61" fillId="0" fontId="8" numFmtId="0" xfId="0" applyBorder="1" applyFont="1"/>
    <xf borderId="62" fillId="0" fontId="1" numFmtId="0" xfId="0" applyAlignment="1" applyBorder="1" applyFont="1">
      <alignment horizontal="center"/>
    </xf>
    <xf borderId="63" fillId="0" fontId="8" numFmtId="0" xfId="0" applyBorder="1" applyFont="1"/>
    <xf borderId="49" fillId="4" fontId="1" numFmtId="0" xfId="0" applyAlignment="1" applyBorder="1" applyFont="1">
      <alignment horizontal="right"/>
    </xf>
    <xf borderId="55" fillId="4" fontId="1" numFmtId="2" xfId="0" applyAlignment="1" applyBorder="1" applyFont="1" applyNumberFormat="1">
      <alignment horizontal="center" vertical="center"/>
    </xf>
    <xf borderId="34" fillId="6" fontId="20" numFmtId="0" xfId="0" applyBorder="1" applyFont="1"/>
    <xf borderId="5" fillId="6" fontId="1" numFmtId="0" xfId="0" applyBorder="1" applyFont="1"/>
    <xf borderId="64" fillId="5" fontId="1" numFmtId="0" xfId="0" applyAlignment="1" applyBorder="1" applyFont="1">
      <alignment horizontal="center" vertical="center"/>
    </xf>
    <xf borderId="65" fillId="4" fontId="1" numFmtId="0" xfId="0" applyAlignment="1" applyBorder="1" applyFont="1">
      <alignment horizontal="center" vertical="center"/>
    </xf>
    <xf borderId="66" fillId="4" fontId="1" numFmtId="2" xfId="0" applyAlignment="1" applyBorder="1" applyFont="1" applyNumberFormat="1">
      <alignment horizontal="center" vertical="center"/>
    </xf>
    <xf borderId="5" fillId="4" fontId="42" numFmtId="0" xfId="0" applyBorder="1" applyFont="1"/>
    <xf borderId="65" fillId="4" fontId="1" numFmtId="0" xfId="0" applyAlignment="1" applyBorder="1" applyFont="1">
      <alignment horizontal="center"/>
    </xf>
    <xf borderId="5" fillId="4" fontId="37" numFmtId="0" xfId="0" applyAlignment="1" applyBorder="1" applyFont="1">
      <alignment horizontal="right"/>
    </xf>
    <xf borderId="5" fillId="4" fontId="37" numFmtId="0" xfId="0" applyAlignment="1" applyBorder="1" applyFont="1">
      <alignment horizontal="center"/>
    </xf>
    <xf borderId="67" fillId="4" fontId="1" numFmtId="2" xfId="0" applyAlignment="1" applyBorder="1" applyFont="1" applyNumberFormat="1">
      <alignment horizontal="center" vertical="center"/>
    </xf>
    <xf borderId="5" fillId="4" fontId="1" numFmtId="2" xfId="0" applyAlignment="1" applyBorder="1" applyFont="1" applyNumberFormat="1">
      <alignment horizontal="center" vertical="center"/>
    </xf>
    <xf borderId="68" fillId="4" fontId="1" numFmtId="0" xfId="0" applyBorder="1" applyFont="1"/>
    <xf borderId="24" fillId="4" fontId="11" numFmtId="0" xfId="0" applyAlignment="1" applyBorder="1" applyFont="1">
      <alignment horizontal="right" vertical="center"/>
    </xf>
    <xf borderId="51" fillId="4" fontId="1" numFmtId="0" xfId="0" applyAlignment="1" applyBorder="1" applyFont="1">
      <alignment horizontal="center" vertical="center"/>
    </xf>
    <xf borderId="24" fillId="4" fontId="1" numFmtId="0" xfId="0" applyAlignment="1" applyBorder="1" applyFont="1">
      <alignment horizontal="center" vertical="center"/>
    </xf>
    <xf borderId="5" fillId="4" fontId="11" numFmtId="0" xfId="0" applyAlignment="1" applyBorder="1" applyFont="1">
      <alignment horizontal="right" vertical="center"/>
    </xf>
    <xf borderId="64" fillId="4" fontId="1" numFmtId="0" xfId="0" applyAlignment="1" applyBorder="1" applyFont="1">
      <alignment horizontal="center" vertical="center"/>
    </xf>
    <xf borderId="5" fillId="4" fontId="34" numFmtId="0" xfId="0" applyAlignment="1" applyBorder="1" applyFont="1">
      <alignment horizontal="center" vertical="center"/>
    </xf>
    <xf borderId="25" fillId="4" fontId="1" numFmtId="0" xfId="0" applyAlignment="1" applyBorder="1" applyFont="1">
      <alignment horizontal="center" vertical="center"/>
    </xf>
    <xf borderId="30" fillId="8" fontId="1" numFmtId="0" xfId="0" applyBorder="1" applyFill="1" applyFont="1"/>
    <xf borderId="24" fillId="8" fontId="1" numFmtId="0" xfId="0" applyAlignment="1" applyBorder="1" applyFont="1">
      <alignment horizontal="center"/>
    </xf>
    <xf borderId="24" fillId="8" fontId="37" numFmtId="0" xfId="0" applyAlignment="1" applyBorder="1" applyFont="1">
      <alignment horizontal="center"/>
    </xf>
    <xf borderId="33" fillId="8" fontId="37" numFmtId="0" xfId="0" applyAlignment="1" applyBorder="1" applyFont="1">
      <alignment horizontal="left"/>
    </xf>
    <xf borderId="5" fillId="4" fontId="37" numFmtId="0" xfId="0" applyBorder="1" applyFont="1"/>
    <xf borderId="69" fillId="4" fontId="1" numFmtId="0" xfId="0" applyBorder="1" applyFont="1"/>
    <xf borderId="25" fillId="4" fontId="1" numFmtId="0" xfId="0" applyAlignment="1" applyBorder="1" applyFont="1">
      <alignment horizontal="right"/>
    </xf>
    <xf borderId="25" fillId="4" fontId="1" numFmtId="165" xfId="0" applyAlignment="1" applyBorder="1" applyFont="1" applyNumberFormat="1">
      <alignment horizontal="center"/>
    </xf>
    <xf borderId="70" fillId="4" fontId="1" numFmtId="0" xfId="0" applyBorder="1" applyFont="1"/>
    <xf borderId="5" fillId="4" fontId="1" numFmtId="165" xfId="0" applyAlignment="1" applyBorder="1" applyFont="1" applyNumberFormat="1">
      <alignment horizontal="center"/>
    </xf>
    <xf borderId="25" fillId="4" fontId="1" numFmtId="1" xfId="0" applyAlignment="1" applyBorder="1" applyFont="1" applyNumberFormat="1">
      <alignment horizontal="center"/>
    </xf>
    <xf borderId="5" fillId="4" fontId="1" numFmtId="1" xfId="0" applyAlignment="1" applyBorder="1" applyFont="1" applyNumberFormat="1">
      <alignment horizontal="center"/>
    </xf>
    <xf borderId="25" fillId="4" fontId="1" numFmtId="166" xfId="0" applyAlignment="1" applyBorder="1" applyFont="1" applyNumberFormat="1">
      <alignment horizontal="center"/>
    </xf>
    <xf borderId="25" fillId="4" fontId="1" numFmtId="166" xfId="0" applyAlignment="1" applyBorder="1" applyFont="1" applyNumberFormat="1">
      <alignment horizontal="right"/>
    </xf>
    <xf borderId="5" fillId="4" fontId="1" numFmtId="2" xfId="0" applyAlignment="1" applyBorder="1" applyFont="1" applyNumberFormat="1">
      <alignment horizontal="center"/>
    </xf>
    <xf borderId="54" fillId="4" fontId="1" numFmtId="2" xfId="0" applyAlignment="1" applyBorder="1" applyFont="1" applyNumberFormat="1">
      <alignment horizontal="center" vertical="center"/>
    </xf>
    <xf borderId="25" fillId="4" fontId="1" numFmtId="1" xfId="0" applyAlignment="1" applyBorder="1" applyFont="1" applyNumberFormat="1">
      <alignment horizontal="center" vertical="center"/>
    </xf>
    <xf borderId="5" fillId="4" fontId="1" numFmtId="166" xfId="0" applyAlignment="1" applyBorder="1" applyFont="1" applyNumberFormat="1">
      <alignment horizontal="center"/>
    </xf>
    <xf borderId="25" fillId="0" fontId="1" numFmtId="0" xfId="0" applyAlignment="1" applyBorder="1" applyFont="1">
      <alignment horizontal="center"/>
    </xf>
    <xf borderId="5" fillId="4" fontId="1" numFmtId="1" xfId="0" applyAlignment="1" applyBorder="1" applyFont="1" applyNumberFormat="1">
      <alignment horizontal="center" vertical="center"/>
    </xf>
    <xf borderId="34" fillId="4" fontId="1" numFmtId="0" xfId="0" applyAlignment="1" applyBorder="1" applyFont="1">
      <alignment horizontal="right"/>
    </xf>
    <xf borderId="5" fillId="4" fontId="1" numFmtId="0" xfId="0" applyAlignment="1" applyBorder="1" applyFont="1">
      <alignment horizontal="left"/>
    </xf>
    <xf borderId="5" fillId="4" fontId="1" numFmtId="164" xfId="0" applyAlignment="1" applyBorder="1" applyFont="1" applyNumberFormat="1">
      <alignment horizontal="center"/>
    </xf>
    <xf borderId="49" fillId="4" fontId="1" numFmtId="0" xfId="0" applyAlignment="1" applyBorder="1" applyFont="1">
      <alignment horizontal="left"/>
    </xf>
    <xf borderId="49" fillId="4" fontId="1" numFmtId="0" xfId="0" applyAlignment="1" applyBorder="1" applyFont="1">
      <alignment horizontal="center"/>
    </xf>
    <xf borderId="5" fillId="4" fontId="31" numFmtId="0" xfId="0" applyBorder="1" applyFont="1"/>
    <xf borderId="5" fillId="4" fontId="20" numFmtId="0" xfId="0" applyBorder="1" applyFont="1"/>
    <xf borderId="0" fillId="0" fontId="1" numFmtId="0" xfId="0" applyAlignment="1" applyFont="1">
      <alignment horizontal="left"/>
    </xf>
    <xf borderId="0" fillId="0" fontId="19" numFmtId="0" xfId="0" applyFont="1"/>
    <xf borderId="0" fillId="0" fontId="1" numFmtId="2" xfId="0" applyFont="1" applyNumberFormat="1"/>
    <xf borderId="0" fillId="0" fontId="1" numFmtId="0" xfId="0" applyAlignment="1" applyFont="1">
      <alignment horizontal="center" vertical="center"/>
    </xf>
    <xf borderId="0" fillId="0" fontId="1" numFmtId="165" xfId="0" applyAlignment="1" applyFont="1" applyNumberFormat="1">
      <alignment horizontal="center" vertical="center"/>
    </xf>
    <xf borderId="0" fillId="0" fontId="1" numFmtId="165" xfId="0" applyAlignment="1" applyFont="1" applyNumberFormat="1">
      <alignment horizontal="center"/>
    </xf>
    <xf borderId="0" fillId="0" fontId="1" numFmtId="166" xfId="0" applyAlignment="1" applyFont="1" applyNumberFormat="1">
      <alignment horizontal="center"/>
    </xf>
    <xf borderId="0" fillId="0" fontId="1" numFmtId="166" xfId="0" applyAlignment="1" applyFont="1" applyNumberFormat="1">
      <alignment horizontal="center" vertical="center"/>
    </xf>
    <xf borderId="0" fillId="0" fontId="1" numFmtId="11" xfId="0" applyAlignment="1" applyFont="1" applyNumberFormat="1">
      <alignment horizontal="center" vertical="center"/>
    </xf>
    <xf borderId="0" fillId="0" fontId="43" numFmtId="0" xfId="0" applyAlignment="1" applyFont="1">
      <alignment horizontal="center"/>
    </xf>
    <xf borderId="0" fillId="0" fontId="37" numFmtId="0" xfId="0" applyAlignment="1" applyFont="1">
      <alignment horizontal="center"/>
    </xf>
    <xf borderId="0" fillId="0" fontId="1" numFmtId="167" xfId="0" applyAlignment="1" applyFont="1" applyNumberFormat="1">
      <alignment horizontal="center"/>
    </xf>
    <xf borderId="0" fillId="0" fontId="1" numFmtId="10" xfId="0" applyFont="1" applyNumberFormat="1"/>
    <xf borderId="0" fillId="0" fontId="15" numFmtId="2" xfId="0" applyFont="1" applyNumberFormat="1"/>
    <xf borderId="0" fillId="0" fontId="1" numFmtId="2" xfId="0" applyAlignment="1" applyFont="1" applyNumberFormat="1">
      <alignment horizontal="right"/>
    </xf>
    <xf borderId="0" fillId="0" fontId="1" numFmtId="2" xfId="0" applyAlignment="1" applyFont="1" applyNumberFormat="1">
      <alignment horizontal="center"/>
    </xf>
    <xf borderId="51" fillId="4" fontId="1" numFmtId="2" xfId="0" applyAlignment="1" applyBorder="1" applyFont="1" applyNumberFormat="1">
      <alignment horizontal="center" vertical="center"/>
    </xf>
    <xf borderId="71" fillId="0" fontId="1" numFmtId="0" xfId="0" applyAlignment="1" applyBorder="1" applyFont="1">
      <alignment horizontal="center"/>
    </xf>
    <xf borderId="25" fillId="0" fontId="1" numFmtId="2" xfId="0" applyAlignment="1" applyBorder="1" applyFont="1" applyNumberFormat="1">
      <alignment horizontal="center"/>
    </xf>
    <xf borderId="72" fillId="0" fontId="1" numFmtId="0" xfId="0" applyAlignment="1" applyBorder="1" applyFont="1">
      <alignment horizontal="center"/>
    </xf>
    <xf borderId="73" fillId="0" fontId="1" numFmtId="0" xfId="0" applyAlignment="1" applyBorder="1" applyFont="1">
      <alignment horizontal="center"/>
    </xf>
    <xf borderId="74" fillId="0" fontId="1" numFmtId="0" xfId="0" applyAlignment="1" applyBorder="1" applyFont="1">
      <alignment horizontal="center"/>
    </xf>
    <xf borderId="0" fillId="0" fontId="44" numFmtId="0" xfId="0" applyFont="1"/>
    <xf borderId="0" fillId="0" fontId="1" numFmtId="167" xfId="0" applyFont="1" applyNumberFormat="1"/>
    <xf borderId="0" fillId="0" fontId="45" numFmtId="0" xfId="0" applyFont="1"/>
    <xf borderId="0" fillId="0" fontId="46" numFmtId="0" xfId="0" applyAlignment="1" applyFont="1">
      <alignment horizontal="center"/>
    </xf>
    <xf borderId="13" fillId="0" fontId="1" numFmtId="2" xfId="0" applyAlignment="1" applyBorder="1" applyFont="1" applyNumberFormat="1">
      <alignment horizontal="center"/>
    </xf>
    <xf borderId="73" fillId="0" fontId="47" numFmtId="0" xfId="0" applyAlignment="1" applyBorder="1" applyFont="1">
      <alignment horizontal="center"/>
    </xf>
    <xf borderId="75" fillId="0" fontId="8" numFmtId="0" xfId="0" applyBorder="1" applyFont="1"/>
    <xf borderId="25" fillId="0" fontId="1" numFmtId="0" xfId="0" applyBorder="1" applyFont="1"/>
    <xf borderId="72" fillId="0" fontId="1" numFmtId="0" xfId="0" applyBorder="1" applyFont="1"/>
    <xf borderId="76" fillId="0" fontId="1" numFmtId="0" xfId="0" applyAlignment="1" applyBorder="1" applyFont="1">
      <alignment horizontal="center"/>
    </xf>
    <xf borderId="77" fillId="0" fontId="8" numFmtId="0" xfId="0" applyBorder="1" applyFont="1"/>
    <xf borderId="78" fillId="0" fontId="8" numFmtId="0" xfId="0" applyBorder="1" applyFont="1"/>
    <xf borderId="25" fillId="0" fontId="1" numFmtId="165" xfId="0" applyBorder="1" applyFont="1" applyNumberFormat="1"/>
    <xf borderId="25" fillId="0" fontId="1" numFmtId="2" xfId="0" applyBorder="1" applyFont="1" applyNumberFormat="1"/>
    <xf borderId="0" fillId="0" fontId="48" numFmtId="0" xfId="0" applyAlignment="1" applyFont="1">
      <alignment horizontal="center"/>
    </xf>
    <xf borderId="0" fillId="0" fontId="49" numFmtId="0" xfId="0" applyAlignment="1" applyFont="1">
      <alignment horizontal="left"/>
    </xf>
    <xf borderId="0" fillId="0" fontId="50" numFmtId="0" xfId="0" applyAlignment="1" applyFont="1">
      <alignment horizontal="center"/>
    </xf>
    <xf borderId="0" fillId="0" fontId="1" numFmtId="2" xfId="0" applyAlignment="1" applyFont="1" applyNumberFormat="1">
      <alignment horizontal="left"/>
    </xf>
    <xf borderId="0" fillId="0" fontId="51" numFmtId="2" xfId="0" applyAlignment="1" applyFont="1" applyNumberFormat="1">
      <alignment horizontal="center"/>
    </xf>
    <xf borderId="0" fillId="0" fontId="37" numFmtId="0" xfId="0" applyAlignment="1" applyFont="1">
      <alignment horizontal="left"/>
    </xf>
    <xf borderId="67" fillId="0" fontId="37" numFmtId="0" xfId="0" applyAlignment="1" applyBorder="1" applyFont="1">
      <alignment horizontal="center"/>
    </xf>
    <xf borderId="79" fillId="0" fontId="37" numFmtId="0" xfId="0" applyAlignment="1" applyBorder="1" applyFont="1">
      <alignment horizontal="center"/>
    </xf>
    <xf borderId="69" fillId="0" fontId="37" numFmtId="0" xfId="0" applyAlignment="1" applyBorder="1" applyFont="1">
      <alignment horizontal="center"/>
    </xf>
    <xf borderId="70" fillId="0" fontId="37" numFmtId="0" xfId="0" applyAlignment="1" applyBorder="1" applyFont="1">
      <alignment horizontal="center"/>
    </xf>
    <xf borderId="69" fillId="0" fontId="1" numFmtId="0" xfId="0" applyAlignment="1" applyBorder="1" applyFont="1">
      <alignment horizontal="center"/>
    </xf>
    <xf borderId="70" fillId="0" fontId="1" numFmtId="0" xfId="0" applyAlignment="1" applyBorder="1" applyFont="1">
      <alignment horizontal="center"/>
    </xf>
    <xf borderId="80" fillId="0" fontId="1" numFmtId="0" xfId="0" applyAlignment="1" applyBorder="1" applyFont="1">
      <alignment horizontal="center"/>
    </xf>
    <xf borderId="81" fillId="0" fontId="1" numFmtId="0" xfId="0" applyAlignment="1" applyBorder="1" applyFont="1">
      <alignment horizontal="center"/>
    </xf>
    <xf borderId="5" fillId="9" fontId="52" numFmtId="0" xfId="0" applyBorder="1" applyFill="1" applyFont="1"/>
  </cellXfs>
  <cellStyles count="1">
    <cellStyle xfId="0" name="Normal" builtinId="0"/>
  </cellStyles>
  <dxfs count="7">
    <dxf>
      <font>
        <color rgb="FFFFFFFF"/>
      </font>
      <fill>
        <patternFill patternType="solid">
          <fgColor rgb="FFFFFFFF"/>
          <bgColor rgb="FFFFFFFF"/>
        </patternFill>
      </fill>
      <border>
        <top style="thin">
          <color rgb="FF000000"/>
        </top>
      </border>
    </dxf>
    <dxf>
      <font/>
      <fill>
        <patternFill patternType="solid">
          <fgColor rgb="FFFF0000"/>
          <bgColor rgb="FFFF0000"/>
        </patternFill>
      </fill>
      <border/>
    </dxf>
    <dxf>
      <font>
        <color rgb="FFFFFFFF"/>
      </font>
      <fill>
        <patternFill patternType="none"/>
      </fill>
      <border/>
    </dxf>
    <dxf>
      <font/>
      <fill>
        <patternFill patternType="solid">
          <fgColor rgb="FF953735"/>
          <bgColor rgb="FF953735"/>
        </patternFill>
      </fill>
      <border/>
    </dxf>
    <dxf>
      <font/>
      <fill>
        <patternFill patternType="solid">
          <fgColor rgb="FFFFFF00"/>
          <bgColor rgb="FFFFFF00"/>
        </patternFill>
      </fill>
      <border/>
    </dxf>
    <dxf>
      <font>
        <color rgb="FFFFFFFF"/>
      </font>
      <fill>
        <patternFill patternType="solid">
          <fgColor rgb="FFFFFFFF"/>
          <bgColor rgb="FFFFFFFF"/>
        </patternFill>
      </fill>
      <border/>
    </dxf>
    <dxf>
      <font>
        <strike/>
        <color rgb="FFBFBFBF"/>
      </font>
      <fill>
        <patternFill patternType="solid">
          <fgColor rgb="FFFFFFFF"/>
          <bgColor rgb="FFFFFFFF"/>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1" Type="http://customschemas.google.com/relationships/workbookmetadata" Target="metadata"/><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26761744966443"/>
          <c:y val="0.106039415130324"/>
          <c:w val="0.831375838926174"/>
          <c:h val="0.768976478067387"/>
        </c:manualLayout>
      </c:layout>
      <c:scatterChart>
        <c:scatterStyle val="lineMarker"/>
        <c:varyColors val="0"/>
        <c:ser>
          <c:idx val="0"/>
          <c:order val="0"/>
          <c:tx>
            <c:v>Temp Derated FET SOA (t = Tfault)</c:v>
          </c:tx>
          <c:spPr>
            <a:ln>
              <a:noFill/>
            </a:ln>
          </c:spPr>
          <c:marker>
            <c:symbol val="circle"/>
            <c:size val="7"/>
            <c:spPr>
              <a:solidFill>
                <a:schemeClr val="accent1"/>
              </a:solidFill>
              <a:ln cmpd="sng">
                <a:solidFill>
                  <a:schemeClr val="accent1"/>
                </a:solidFill>
              </a:ln>
            </c:spPr>
          </c:marker>
          <c:xVal>
            <c:numRef>
              <c:f>Equations!$R$146:$R$162</c:f>
            </c:numRef>
          </c:xVal>
          <c:yVal>
            <c:numRef>
              <c:f>Equations!$V$146:$V$162</c:f>
              <c:numCache/>
            </c:numRef>
          </c:yVal>
        </c:ser>
        <c:dLbls>
          <c:showLegendKey val="0"/>
          <c:showVal val="0"/>
          <c:showCatName val="0"/>
          <c:showSerName val="0"/>
          <c:showPercent val="0"/>
          <c:showBubbleSize val="0"/>
        </c:dLbls>
        <c:axId val="294396198"/>
        <c:axId val="857975563"/>
      </c:scatterChart>
      <c:valAx>
        <c:axId val="294396198"/>
        <c:scaling>
          <c:orientation val="minMax"/>
          <c:max val="100.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1" i="0" sz="900">
                    <a:solidFill>
                      <a:srgbClr val="000000"/>
                    </a:solidFill>
                    <a:latin typeface="Arial"/>
                  </a:defRPr>
                </a:pPr>
                <a:r>
                  <a:rPr b="1" i="0" sz="900">
                    <a:solidFill>
                      <a:srgbClr val="000000"/>
                    </a:solidFill>
                    <a:latin typeface="Arial"/>
                  </a:rPr>
                  <a:t>VDS - Drain-to-Source Voltage - V</a:t>
                </a:r>
              </a:p>
            </c:rich>
          </c:tx>
          <c:layout>
            <c:manualLayout>
              <c:xMode val="edge"/>
              <c:yMode val="edge"/>
              <c:x val="0.374496644295302"/>
              <c:y val="0.939987285441831"/>
            </c:manualLayout>
          </c:layout>
          <c:overlay val="0"/>
        </c:title>
        <c:numFmt formatCode="General" sourceLinked="0"/>
        <c:majorTickMark val="none"/>
        <c:minorTickMark val="none"/>
        <c:tickLblPos val="nextTo"/>
        <c:spPr>
          <a:ln/>
        </c:spPr>
        <c:txPr>
          <a:bodyPr/>
          <a:lstStyle/>
          <a:p>
            <a:pPr lvl="0">
              <a:defRPr b="0" i="0" sz="900">
                <a:solidFill>
                  <a:srgbClr val="000000"/>
                </a:solidFill>
                <a:latin typeface="Arial"/>
              </a:defRPr>
            </a:pPr>
          </a:p>
        </c:txPr>
        <c:crossAx val="857975563"/>
      </c:valAx>
      <c:valAx>
        <c:axId val="857975563"/>
        <c:scaling>
          <c:orientation val="minMax"/>
          <c:max val="10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i="0" sz="900">
                    <a:solidFill>
                      <a:srgbClr val="000000"/>
                    </a:solidFill>
                    <a:latin typeface="Arial"/>
                  </a:defRPr>
                </a:pPr>
                <a:r>
                  <a:rPr b="1" i="0" sz="900">
                    <a:solidFill>
                      <a:srgbClr val="000000"/>
                    </a:solidFill>
                    <a:latin typeface="Arial"/>
                  </a:rPr>
                  <a:t>IDS - Drain-to-Source Current - A</a:t>
                </a:r>
              </a:p>
            </c:rich>
          </c:tx>
          <c:layout>
            <c:manualLayout>
              <c:xMode val="edge"/>
              <c:yMode val="edge"/>
              <c:x val="0.0199664429530201"/>
              <c:y val="0.214494596312778"/>
            </c:manualLayout>
          </c:layout>
          <c:overlay val="0"/>
        </c:title>
        <c:numFmt formatCode="General" sourceLinked="0"/>
        <c:majorTickMark val="none"/>
        <c:minorTickMark val="none"/>
        <c:tickLblPos val="nextTo"/>
        <c:spPr>
          <a:ln/>
        </c:spPr>
        <c:txPr>
          <a:bodyPr/>
          <a:lstStyle/>
          <a:p>
            <a:pPr lvl="0">
              <a:defRPr b="0" i="0" sz="900">
                <a:solidFill>
                  <a:srgbClr val="000000"/>
                </a:solidFill>
                <a:latin typeface="Arial"/>
              </a:defRPr>
            </a:pPr>
          </a:p>
        </c:txPr>
        <c:crossAx val="294396198"/>
      </c:valAx>
      <c:spPr>
        <a:solidFill>
          <a:srgbClr val="FFFFFF"/>
        </a:solidFill>
      </c:spPr>
    </c:plotArea>
    <c:legend>
      <c:legendPos val="r"/>
      <c:layout>
        <c:manualLayout>
          <c:xMode val="edge"/>
          <c:yMode val="edge"/>
          <c:x val="0.50994825783805"/>
          <c:y val="0.0242820239900831"/>
        </c:manualLayout>
      </c:layout>
      <c:overlay val="0"/>
      <c:txPr>
        <a:bodyPr/>
        <a:lstStyle/>
        <a:p>
          <a:pPr lvl="0">
            <a:defRPr b="0" i="0" sz="800">
              <a:solidFill>
                <a:srgbClr val="000000"/>
              </a:solidFill>
              <a:latin typeface="Arial"/>
            </a:defRPr>
          </a:pPr>
        </a:p>
      </c:txPr>
    </c:legend>
    <c:plotVisOnly val="0"/>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600">
                <a:solidFill>
                  <a:srgbClr val="000000"/>
                </a:solidFill>
                <a:latin typeface="Calibri"/>
              </a:defRPr>
            </a:pPr>
            <a:r>
              <a:rPr b="1" i="0" sz="1600">
                <a:solidFill>
                  <a:srgbClr val="000000"/>
                </a:solidFill>
                <a:latin typeface="Calibri"/>
              </a:rPr>
              <a:t>ILOAD and IFET vs Vout (VIN = VINMAX)                                               </a:t>
            </a:r>
          </a:p>
        </c:rich>
      </c:tx>
      <c:layout>
        <c:manualLayout>
          <c:xMode val="edge"/>
          <c:yMode val="edge"/>
          <c:x val="0.16491614433339"/>
          <c:y val="0.0306169078446306"/>
        </c:manualLayout>
      </c:layout>
      <c:overlay val="0"/>
    </c:title>
    <c:plotArea>
      <c:layout>
        <c:manualLayout>
          <c:xMode val="edge"/>
          <c:yMode val="edge"/>
          <c:x val="0.15204133491445"/>
          <c:y val="0.138309215536938"/>
          <c:w val="0.768592241233271"/>
          <c:h val="0.701447067783701"/>
        </c:manualLayout>
      </c:layout>
      <c:scatterChart>
        <c:scatterStyle val="lineMarker"/>
        <c:ser>
          <c:idx val="0"/>
          <c:order val="0"/>
          <c:tx>
            <c:v>ILOAD</c:v>
          </c:tx>
          <c:spPr>
            <a:ln>
              <a:noFill/>
            </a:ln>
          </c:spPr>
          <c:marker>
            <c:symbol val="circle"/>
            <c:size val="7"/>
            <c:spPr>
              <a:solidFill>
                <a:schemeClr val="accent1"/>
              </a:solidFill>
              <a:ln cmpd="sng">
                <a:solidFill>
                  <a:schemeClr val="accent1"/>
                </a:solidFill>
              </a:ln>
            </c:spPr>
          </c:marker>
          <c:xVal>
            <c:numRef>
              <c:f>Start_up!$B$10:$B$111</c:f>
            </c:numRef>
          </c:xVal>
          <c:yVal>
            <c:numRef>
              <c:f>Start_up!$C$10:$C$111</c:f>
              <c:numCache/>
            </c:numRef>
          </c:yVal>
        </c:ser>
        <c:ser>
          <c:idx val="1"/>
          <c:order val="1"/>
          <c:tx>
            <c:v>IFET</c:v>
          </c:tx>
          <c:spPr>
            <a:ln>
              <a:noFill/>
            </a:ln>
          </c:spPr>
          <c:marker>
            <c:symbol val="circle"/>
            <c:size val="7"/>
            <c:spPr>
              <a:solidFill>
                <a:schemeClr val="accent2"/>
              </a:solidFill>
              <a:ln cmpd="sng">
                <a:solidFill>
                  <a:schemeClr val="accent2"/>
                </a:solidFill>
              </a:ln>
            </c:spPr>
          </c:marker>
          <c:xVal>
            <c:numRef>
              <c:f>Start_up!$B$10:$B$111</c:f>
            </c:numRef>
          </c:xVal>
          <c:yVal>
            <c:numRef>
              <c:f>Start_up!$G$10:$G$112</c:f>
              <c:numCache/>
            </c:numRef>
          </c:yVal>
        </c:ser>
        <c:dLbls>
          <c:showLegendKey val="0"/>
          <c:showVal val="0"/>
          <c:showCatName val="0"/>
          <c:showSerName val="0"/>
          <c:showPercent val="0"/>
          <c:showBubbleSize val="0"/>
        </c:dLbls>
        <c:axId val="720033431"/>
        <c:axId val="800464895"/>
      </c:scatterChart>
      <c:valAx>
        <c:axId val="720033431"/>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1" i="0" sz="1000">
                    <a:solidFill>
                      <a:srgbClr val="000000"/>
                    </a:solidFill>
                    <a:latin typeface="Calibri"/>
                  </a:defRPr>
                </a:pPr>
                <a:r>
                  <a:rPr b="1" i="0" sz="1000">
                    <a:solidFill>
                      <a:srgbClr val="000000"/>
                    </a:solidFill>
                    <a:latin typeface="Calibri"/>
                  </a:rPr>
                  <a:t>Output Voltage (V)</a:t>
                </a:r>
              </a:p>
            </c:rich>
          </c:tx>
          <c:layout>
            <c:manualLayout>
              <c:xMode val="edge"/>
              <c:yMode val="edge"/>
              <c:x val="0.409114009825512"/>
              <c:y val="0.925514089870526"/>
            </c:manualLayout>
          </c:layout>
          <c:overlay val="0"/>
        </c:title>
        <c:numFmt formatCode="0.0" sourceLinked="0"/>
        <c:majorTickMark val="out"/>
        <c:minorTickMark val="none"/>
        <c:tickLblPos val="nextTo"/>
        <c:spPr>
          <a:ln/>
        </c:spPr>
        <c:txPr>
          <a:bodyPr/>
          <a:lstStyle/>
          <a:p>
            <a:pPr lvl="0">
              <a:defRPr b="1" i="0" sz="1000">
                <a:solidFill>
                  <a:srgbClr val="000000"/>
                </a:solidFill>
                <a:latin typeface="Calibri"/>
              </a:defRPr>
            </a:pPr>
          </a:p>
        </c:txPr>
        <c:crossAx val="800464895"/>
      </c:valAx>
      <c:valAx>
        <c:axId val="80046489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i="0" sz="1000">
                    <a:solidFill>
                      <a:srgbClr val="000000"/>
                    </a:solidFill>
                    <a:latin typeface="Calibri"/>
                  </a:defRPr>
                </a:pPr>
                <a:r>
                  <a:rPr b="1" i="0" sz="1000">
                    <a:solidFill>
                      <a:srgbClr val="000000"/>
                    </a:solidFill>
                    <a:latin typeface="Calibri"/>
                  </a:rPr>
                  <a:t>Current (A)</a:t>
                </a:r>
              </a:p>
            </c:rich>
          </c:tx>
          <c:layout>
            <c:manualLayout>
              <c:xMode val="edge"/>
              <c:yMode val="edge"/>
              <c:x val="0.0228697272573268"/>
              <c:y val="0.401827875095202"/>
            </c:manualLayout>
          </c:layout>
          <c:overlay val="0"/>
        </c:title>
        <c:numFmt formatCode="0.00" sourceLinked="0"/>
        <c:majorTickMark val="out"/>
        <c:minorTickMark val="none"/>
        <c:tickLblPos val="nextTo"/>
        <c:spPr>
          <a:ln/>
        </c:spPr>
        <c:txPr>
          <a:bodyPr/>
          <a:lstStyle/>
          <a:p>
            <a:pPr lvl="0">
              <a:defRPr b="1" i="0" sz="1000">
                <a:solidFill>
                  <a:srgbClr val="000000"/>
                </a:solidFill>
                <a:latin typeface="Calibri"/>
              </a:defRPr>
            </a:pPr>
          </a:p>
        </c:txPr>
        <c:crossAx val="720033431"/>
      </c:valAx>
      <c:spPr>
        <a:solidFill>
          <a:srgbClr val="FFFFFF"/>
        </a:solidFill>
      </c:spPr>
    </c:plotArea>
    <c:legend>
      <c:legendPos val="r"/>
      <c:layout>
        <c:manualLayout>
          <c:xMode val="edge"/>
          <c:yMode val="edge"/>
          <c:x val="0.200979428424124"/>
          <c:y val="0.16726500821759"/>
        </c:manualLayout>
      </c:layout>
      <c:overlay val="0"/>
      <c:txPr>
        <a:bodyPr/>
        <a:lstStyle/>
        <a:p>
          <a:pPr lvl="0">
            <a:defRPr b="0" i="0" sz="1000">
              <a:solidFill>
                <a:srgbClr val="000000"/>
              </a:solidFill>
              <a:latin typeface="Calibri"/>
            </a:defRPr>
          </a:pPr>
        </a:p>
      </c:txPr>
    </c:legend>
    <c:plotVisOnly val="1"/>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600">
                <a:solidFill>
                  <a:srgbClr val="000000"/>
                </a:solidFill>
                <a:latin typeface="Calibri"/>
              </a:defRPr>
            </a:pPr>
            <a:r>
              <a:rPr b="1" i="0" sz="1600">
                <a:solidFill>
                  <a:srgbClr val="000000"/>
                </a:solidFill>
                <a:latin typeface="Calibri"/>
              </a:rPr>
              <a:t>Start - up: FET Power (VIN = VINMAX)</a:t>
            </a:r>
          </a:p>
        </c:rich>
      </c:tx>
      <c:layout>
        <c:manualLayout>
          <c:xMode val="edge"/>
          <c:yMode val="edge"/>
          <c:x val="0.196354598177299"/>
          <c:y val="0.00479945149125814"/>
        </c:manualLayout>
      </c:layout>
      <c:overlay val="0"/>
    </c:title>
    <c:plotArea>
      <c:layout>
        <c:manualLayout>
          <c:xMode val="edge"/>
          <c:yMode val="edge"/>
          <c:x val="0.139022369511185"/>
          <c:y val="0.0809050394240658"/>
          <c:w val="0.767605633802817"/>
          <c:h val="0.718546451834076"/>
        </c:manualLayout>
      </c:layout>
      <c:scatterChart>
        <c:scatterStyle val="lineMarker"/>
        <c:varyColors val="0"/>
        <c:ser>
          <c:idx val="0"/>
          <c:order val="0"/>
          <c:tx>
            <c:v>FET power dissipation</c:v>
          </c:tx>
          <c:spPr>
            <a:ln>
              <a:noFill/>
            </a:ln>
          </c:spPr>
          <c:marker>
            <c:symbol val="circle"/>
            <c:size val="7"/>
            <c:spPr>
              <a:solidFill>
                <a:schemeClr val="accent1"/>
              </a:solidFill>
              <a:ln cmpd="sng">
                <a:solidFill>
                  <a:schemeClr val="accent1"/>
                </a:solidFill>
              </a:ln>
            </c:spPr>
          </c:marker>
          <c:xVal>
            <c:numRef>
              <c:f>Start_up!$K$8:$K$115</c:f>
            </c:numRef>
          </c:xVal>
          <c:yVal>
            <c:numRef>
              <c:f>Start_up!$O$8:$O$115</c:f>
              <c:numCache/>
            </c:numRef>
          </c:yVal>
        </c:ser>
        <c:dLbls>
          <c:showLegendKey val="0"/>
          <c:showVal val="0"/>
          <c:showCatName val="0"/>
          <c:showSerName val="0"/>
          <c:showPercent val="0"/>
          <c:showBubbleSize val="0"/>
        </c:dLbls>
        <c:axId val="504506042"/>
        <c:axId val="1735710570"/>
      </c:scatterChart>
      <c:valAx>
        <c:axId val="504506042"/>
        <c:scaling>
          <c:orientation val="minMax"/>
          <c:min val="-1.0"/>
        </c:scaling>
        <c:delete val="0"/>
        <c:axPos val="b"/>
        <c:minorGridlines>
          <c:spPr>
            <a:ln>
              <a:solidFill>
                <a:srgbClr val="CCCCCC">
                  <a:alpha val="0"/>
                </a:srgbClr>
              </a:solidFill>
            </a:ln>
          </c:spPr>
        </c:minorGridlines>
        <c:title>
          <c:tx>
            <c:rich>
              <a:bodyPr/>
              <a:lstStyle/>
              <a:p>
                <a:pPr lvl="0">
                  <a:defRPr b="1" i="0" sz="1000">
                    <a:solidFill>
                      <a:srgbClr val="000000"/>
                    </a:solidFill>
                    <a:latin typeface="Calibri"/>
                  </a:defRPr>
                </a:pPr>
                <a:r>
                  <a:rPr b="1" i="0" sz="1000">
                    <a:solidFill>
                      <a:srgbClr val="000000"/>
                    </a:solidFill>
                    <a:latin typeface="Calibri"/>
                  </a:rPr>
                  <a:t>Time (ms)</a:t>
                </a:r>
              </a:p>
            </c:rich>
          </c:tx>
          <c:layout>
            <c:manualLayout>
              <c:xMode val="edge"/>
              <c:yMode val="edge"/>
              <c:x val="0.448135874067937"/>
              <c:y val="0.905896468974974"/>
            </c:manualLayout>
          </c:layout>
          <c:overlay val="0"/>
        </c:title>
        <c:numFmt formatCode="0.0" sourceLinked="0"/>
        <c:majorTickMark val="out"/>
        <c:minorTickMark val="none"/>
        <c:tickLblPos val="nextTo"/>
        <c:spPr>
          <a:ln/>
        </c:spPr>
        <c:txPr>
          <a:bodyPr/>
          <a:lstStyle/>
          <a:p>
            <a:pPr lvl="0">
              <a:defRPr b="1" i="0" sz="1000">
                <a:solidFill>
                  <a:srgbClr val="000000"/>
                </a:solidFill>
                <a:latin typeface="Calibri"/>
              </a:defRPr>
            </a:pPr>
          </a:p>
        </c:txPr>
        <c:crossAx val="1735710570"/>
      </c:valAx>
      <c:valAx>
        <c:axId val="1735710570"/>
        <c:scaling>
          <c:orientation val="minMax"/>
          <c:min val="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i="0" sz="1000">
                    <a:solidFill>
                      <a:srgbClr val="000000"/>
                    </a:solidFill>
                    <a:latin typeface="Calibri"/>
                  </a:defRPr>
                </a:pPr>
                <a:r>
                  <a:rPr b="1" i="0" sz="1000">
                    <a:solidFill>
                      <a:srgbClr val="000000"/>
                    </a:solidFill>
                    <a:latin typeface="Calibri"/>
                  </a:rPr>
                  <a:t>FET Power (W)</a:t>
                </a:r>
              </a:p>
            </c:rich>
          </c:tx>
          <c:layout>
            <c:manualLayout>
              <c:xMode val="edge"/>
              <c:yMode val="edge"/>
              <c:x val="0.0128417564208782"/>
              <c:y val="0.257113472745972"/>
            </c:manualLayout>
          </c:layout>
          <c:overlay val="0"/>
        </c:title>
        <c:numFmt formatCode="General" sourceLinked="0"/>
        <c:majorTickMark val="out"/>
        <c:minorTickMark val="none"/>
        <c:tickLblPos val="nextTo"/>
        <c:spPr>
          <a:ln/>
        </c:spPr>
        <c:txPr>
          <a:bodyPr/>
          <a:lstStyle/>
          <a:p>
            <a:pPr lvl="0">
              <a:defRPr b="1" i="0" sz="1000">
                <a:solidFill>
                  <a:srgbClr val="000000"/>
                </a:solidFill>
                <a:latin typeface="Calibri"/>
              </a:defRPr>
            </a:pPr>
          </a:p>
        </c:txPr>
        <c:crossAx val="504506042"/>
      </c:valAx>
      <c:spPr>
        <a:solidFill>
          <a:srgbClr val="FFFFFF"/>
        </a:solidFill>
      </c:spPr>
    </c:plotArea>
    <c:legend>
      <c:legendPos val="r"/>
      <c:layout>
        <c:manualLayout>
          <c:xMode val="edge"/>
          <c:yMode val="edge"/>
          <c:x val="0.58243391004423"/>
          <c:y val="0.292017392684372"/>
        </c:manualLayout>
      </c:layout>
      <c:overlay val="0"/>
      <c:txPr>
        <a:bodyPr/>
        <a:lstStyle/>
        <a:p>
          <a:pPr lvl="0">
            <a:defRPr b="0" i="0" sz="1000">
              <a:solidFill>
                <a:srgbClr val="000000"/>
              </a:solidFill>
              <a:latin typeface="Calibri"/>
            </a:defRPr>
          </a:pPr>
        </a:p>
      </c:txPr>
    </c:legend>
    <c:plotVisOnly val="1"/>
  </c:chart>
  <c:spPr>
    <a:solidFill>
      <a:srgbClr val="FFFFFF"/>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Calibri"/>
              </a:defRPr>
            </a:pPr>
            <a:r>
              <a:rPr b="1" i="0" sz="1800">
                <a:solidFill>
                  <a:srgbClr val="000000"/>
                </a:solidFill>
                <a:latin typeface="Calibri"/>
              </a:rPr>
              <a:t>Load and FET current vs Vout</a:t>
            </a:r>
          </a:p>
        </c:rich>
      </c:tx>
      <c:overlay val="0"/>
    </c:title>
    <c:plotArea>
      <c:layout>
        <c:manualLayout>
          <c:xMode val="edge"/>
          <c:yMode val="edge"/>
          <c:x val="0.202792553191489"/>
          <c:y val="0.141809023215068"/>
          <c:w val="0.699551196808511"/>
          <c:h val="0.711782742006132"/>
        </c:manualLayout>
      </c:layout>
      <c:scatterChart>
        <c:scatterStyle val="lineMarker"/>
        <c:ser>
          <c:idx val="0"/>
          <c:order val="0"/>
          <c:tx>
            <c:v>ILOAD</c:v>
          </c:tx>
          <c:spPr>
            <a:ln>
              <a:noFill/>
            </a:ln>
          </c:spPr>
          <c:marker>
            <c:symbol val="circle"/>
            <c:size val="7"/>
            <c:spPr>
              <a:solidFill>
                <a:schemeClr val="accent1"/>
              </a:solidFill>
              <a:ln cmpd="sng">
                <a:solidFill>
                  <a:schemeClr val="accent1"/>
                </a:solidFill>
              </a:ln>
            </c:spPr>
          </c:marker>
          <c:xVal>
            <c:numRef>
              <c:f>Start_up!$B$10:$B$111</c:f>
            </c:numRef>
          </c:xVal>
          <c:yVal>
            <c:numRef>
              <c:f>Start_up!$C$10:$C$111</c:f>
              <c:numCache/>
            </c:numRef>
          </c:yVal>
        </c:ser>
        <c:ser>
          <c:idx val="1"/>
          <c:order val="1"/>
          <c:tx>
            <c:v>IFET</c:v>
          </c:tx>
          <c:spPr>
            <a:ln>
              <a:noFill/>
            </a:ln>
          </c:spPr>
          <c:marker>
            <c:symbol val="circle"/>
            <c:size val="7"/>
            <c:spPr>
              <a:solidFill>
                <a:schemeClr val="accent2"/>
              </a:solidFill>
              <a:ln cmpd="sng">
                <a:solidFill>
                  <a:schemeClr val="accent2"/>
                </a:solidFill>
              </a:ln>
            </c:spPr>
          </c:marker>
          <c:xVal>
            <c:numRef>
              <c:f>Start_up!$B$10:$B$111</c:f>
            </c:numRef>
          </c:xVal>
          <c:yVal>
            <c:numRef>
              <c:f>Start_up!$G$10:$G$112</c:f>
              <c:numCache/>
            </c:numRef>
          </c:yVal>
        </c:ser>
        <c:dLbls>
          <c:showLegendKey val="0"/>
          <c:showVal val="0"/>
          <c:showCatName val="0"/>
          <c:showSerName val="0"/>
          <c:showPercent val="0"/>
          <c:showBubbleSize val="0"/>
        </c:dLbls>
        <c:axId val="2056885050"/>
        <c:axId val="1046946345"/>
      </c:scatterChart>
      <c:valAx>
        <c:axId val="2056885050"/>
        <c:scaling>
          <c:orientation val="minMax"/>
        </c:scaling>
        <c:delete val="0"/>
        <c:axPos val="b"/>
        <c:title>
          <c:tx>
            <c:rich>
              <a:bodyPr/>
              <a:lstStyle/>
              <a:p>
                <a:pPr lvl="0">
                  <a:defRPr b="1" i="0" sz="1000">
                    <a:solidFill>
                      <a:srgbClr val="000000"/>
                    </a:solidFill>
                    <a:latin typeface="Calibri"/>
                  </a:defRPr>
                </a:pPr>
                <a:r>
                  <a:rPr b="1" i="0" sz="1000">
                    <a:solidFill>
                      <a:srgbClr val="000000"/>
                    </a:solidFill>
                    <a:latin typeface="Calibri"/>
                  </a:rPr>
                  <a:t>Output Voltage (V)</a:t>
                </a:r>
              </a:p>
            </c:rich>
          </c:tx>
          <c:overlay val="0"/>
        </c:title>
        <c:numFmt formatCode="0.00" sourceLinked="0"/>
        <c:majorTickMark val="out"/>
        <c:minorTickMark val="none"/>
        <c:tickLblPos val="nextTo"/>
        <c:spPr>
          <a:ln/>
        </c:spPr>
        <c:txPr>
          <a:bodyPr/>
          <a:lstStyle/>
          <a:p>
            <a:pPr lvl="0">
              <a:defRPr b="0" i="0" sz="1000">
                <a:solidFill>
                  <a:srgbClr val="000000"/>
                </a:solidFill>
                <a:latin typeface="Calibri"/>
              </a:defRPr>
            </a:pPr>
          </a:p>
        </c:txPr>
        <c:crossAx val="1046946345"/>
      </c:valAx>
      <c:valAx>
        <c:axId val="1046946345"/>
        <c:scaling>
          <c:orientation val="minMax"/>
          <c:min val="0.0"/>
        </c:scaling>
        <c:delete val="0"/>
        <c:axPos val="l"/>
        <c:majorGridlines>
          <c:spPr>
            <a:ln>
              <a:solidFill>
                <a:srgbClr val="B7B7B7"/>
              </a:solidFill>
            </a:ln>
          </c:spPr>
        </c:majorGridlines>
        <c:title>
          <c:tx>
            <c:rich>
              <a:bodyPr/>
              <a:lstStyle/>
              <a:p>
                <a:pPr lvl="0">
                  <a:defRPr b="1" i="0" sz="1000">
                    <a:solidFill>
                      <a:srgbClr val="000000"/>
                    </a:solidFill>
                    <a:latin typeface="Calibri"/>
                  </a:defRPr>
                </a:pPr>
                <a:r>
                  <a:rPr b="1" i="0" sz="1000">
                    <a:solidFill>
                      <a:srgbClr val="000000"/>
                    </a:solidFill>
                    <a:latin typeface="Calibri"/>
                  </a:rPr>
                  <a:t>Current (A)</a:t>
                </a:r>
              </a:p>
            </c:rich>
          </c:tx>
          <c:overlay val="0"/>
        </c:title>
        <c:numFmt formatCode="0.000" sourceLinked="0"/>
        <c:majorTickMark val="out"/>
        <c:minorTickMark val="none"/>
        <c:tickLblPos val="nextTo"/>
        <c:spPr>
          <a:ln/>
        </c:spPr>
        <c:txPr>
          <a:bodyPr/>
          <a:lstStyle/>
          <a:p>
            <a:pPr lvl="0">
              <a:defRPr b="0" i="0" sz="1000">
                <a:solidFill>
                  <a:srgbClr val="000000"/>
                </a:solidFill>
                <a:latin typeface="Calibri"/>
              </a:defRPr>
            </a:pPr>
          </a:p>
        </c:txPr>
        <c:crossAx val="2056885050"/>
      </c:valAx>
      <c:spPr>
        <a:solidFill>
          <a:srgbClr val="FFFFFF"/>
        </a:solidFill>
      </c:spPr>
    </c:plotArea>
    <c:legend>
      <c:legendPos val="r"/>
      <c:layout>
        <c:manualLayout>
          <c:xMode val="edge"/>
          <c:yMode val="edge"/>
          <c:x val="0.346242523587897"/>
          <c:y val="0.244791264891172"/>
        </c:manualLayout>
      </c:layout>
      <c:overlay val="0"/>
      <c:txPr>
        <a:bodyPr/>
        <a:lstStyle/>
        <a:p>
          <a:pPr lvl="0">
            <a:defRPr b="0" i="0" sz="1000">
              <a:solidFill>
                <a:srgbClr val="000000"/>
              </a:solidFill>
              <a:latin typeface="Calibri"/>
            </a:defRPr>
          </a:pPr>
        </a:p>
      </c:txPr>
    </c:legend>
    <c:plotVisOnly val="1"/>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 Type="http://schemas.openxmlformats.org/officeDocument/2006/relationships/image" Target="../media/image7.png"/><Relationship Id="rId10" Type="http://schemas.openxmlformats.org/officeDocument/2006/relationships/image" Target="../media/image5.png"/><Relationship Id="rId13" Type="http://schemas.openxmlformats.org/officeDocument/2006/relationships/image" Target="../media/image8.png"/><Relationship Id="rId12" Type="http://schemas.openxmlformats.org/officeDocument/2006/relationships/image" Target="../media/image9.png"/><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image" Target="../media/image2.png"/><Relationship Id="rId9" Type="http://schemas.openxmlformats.org/officeDocument/2006/relationships/image" Target="../media/image10.png"/><Relationship Id="rId5" Type="http://schemas.openxmlformats.org/officeDocument/2006/relationships/image" Target="../media/image11.png"/><Relationship Id="rId6" Type="http://schemas.openxmlformats.org/officeDocument/2006/relationships/image" Target="../media/image4.png"/><Relationship Id="rId7" Type="http://schemas.openxmlformats.org/officeDocument/2006/relationships/image" Target="../media/image3.png"/><Relationship Id="rId8"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57150</xdr:rowOff>
    </xdr:from>
    <xdr:ext cx="9324975" cy="619125"/>
    <xdr:sp>
      <xdr:nvSpPr>
        <xdr:cNvPr id="3" name="Shape 3"/>
        <xdr:cNvSpPr/>
      </xdr:nvSpPr>
      <xdr:spPr>
        <a:xfrm>
          <a:off x="688275" y="3475200"/>
          <a:ext cx="9315450" cy="609600"/>
        </a:xfrm>
        <a:prstGeom prst="rect">
          <a:avLst/>
        </a:prstGeom>
        <a:solidFill>
          <a:srgbClr val="FFFFFF"/>
        </a:solidFill>
        <a:ln cap="flat" cmpd="sng" w="9525">
          <a:solidFill>
            <a:srgbClr val="000000"/>
          </a:solidFill>
          <a:prstDash val="solid"/>
          <a:miter lim="8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114300</xdr:colOff>
      <xdr:row>2</xdr:row>
      <xdr:rowOff>0</xdr:rowOff>
    </xdr:from>
    <xdr:ext cx="22383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266700</xdr:colOff>
      <xdr:row>49</xdr:row>
      <xdr:rowOff>76200</xdr:rowOff>
    </xdr:from>
    <xdr:ext cx="20964525" cy="2628900"/>
    <xdr:graphicFrame>
      <xdr:nvGraphicFramePr>
        <xdr:cNvPr id="344504643"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7</xdr:col>
      <xdr:colOff>219075</xdr:colOff>
      <xdr:row>67</xdr:row>
      <xdr:rowOff>85725</xdr:rowOff>
    </xdr:from>
    <xdr:ext cx="20916900" cy="2324100"/>
    <xdr:graphicFrame>
      <xdr:nvGraphicFramePr>
        <xdr:cNvPr id="1460830587"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7</xdr:col>
      <xdr:colOff>228600</xdr:colOff>
      <xdr:row>81</xdr:row>
      <xdr:rowOff>47625</xdr:rowOff>
    </xdr:from>
    <xdr:ext cx="21002625" cy="2076450"/>
    <xdr:graphicFrame>
      <xdr:nvGraphicFramePr>
        <xdr:cNvPr id="604364799"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0</xdr:col>
      <xdr:colOff>0</xdr:colOff>
      <xdr:row>1</xdr:row>
      <xdr:rowOff>66675</xdr:rowOff>
    </xdr:from>
    <xdr:ext cx="7791450" cy="942975"/>
    <xdr:sp>
      <xdr:nvSpPr>
        <xdr:cNvPr id="4" name="Shape 4"/>
        <xdr:cNvSpPr/>
      </xdr:nvSpPr>
      <xdr:spPr>
        <a:xfrm>
          <a:off x="1455038" y="3313275"/>
          <a:ext cx="7781925" cy="933450"/>
        </a:xfrm>
        <a:prstGeom prst="rect">
          <a:avLst/>
        </a:prstGeom>
        <a:solidFill>
          <a:srgbClr val="FFFFFF"/>
        </a:solidFill>
        <a:ln cap="flat" cmpd="sng" w="9525">
          <a:solidFill>
            <a:srgbClr val="000000"/>
          </a:solidFill>
          <a:prstDash val="solid"/>
          <a:miter lim="8000"/>
          <a:headEnd len="sm" w="sm" type="none"/>
          <a:tailEnd len="sm" w="sm" type="none"/>
        </a:ln>
      </xdr:spPr>
      <xdr:txBody>
        <a:bodyPr anchorCtr="0" anchor="t" bIns="0" lIns="36700" spcFirstLastPara="1" rIns="0" wrap="square" tIns="23025">
          <a:noAutofit/>
        </a:bodyPr>
        <a:lstStyle/>
        <a:p>
          <a:pPr indent="0" lvl="0" marL="0" rtl="0" algn="l">
            <a:lnSpc>
              <a:spcPct val="100000"/>
            </a:lnSpc>
            <a:spcBef>
              <a:spcPts val="0"/>
            </a:spcBef>
            <a:spcAft>
              <a:spcPts val="0"/>
            </a:spcAft>
            <a:buClr>
              <a:srgbClr val="FF0000"/>
            </a:buClr>
            <a:buSzPts val="1200"/>
            <a:buFont typeface="Arial"/>
            <a:buNone/>
          </a:pPr>
          <a:r>
            <a:rPr b="1" lang="en-US" sz="1200" u="sng" strike="noStrike">
              <a:solidFill>
                <a:srgbClr val="FF0000"/>
              </a:solidFill>
              <a:latin typeface="Arial"/>
              <a:ea typeface="Arial"/>
              <a:cs typeface="Arial"/>
              <a:sym typeface="Arial"/>
            </a:rPr>
            <a:t>Note</a:t>
          </a:r>
          <a:r>
            <a:rPr b="1" lang="en-US" sz="1200" strike="noStrike">
              <a:solidFill>
                <a:srgbClr val="FF0000"/>
              </a:solidFill>
              <a:latin typeface="Arial"/>
              <a:ea typeface="Arial"/>
              <a:cs typeface="Arial"/>
              <a:sym typeface="Arial"/>
            </a:rPr>
            <a:t>:</a:t>
          </a:r>
          <a:r>
            <a:rPr b="0" lang="en-US" sz="1200" strike="noStrike">
              <a:solidFill>
                <a:srgbClr val="FF0000"/>
              </a:solidFill>
              <a:latin typeface="Arial"/>
              <a:ea typeface="Arial"/>
              <a:cs typeface="Arial"/>
              <a:sym typeface="Arial"/>
            </a:rPr>
            <a:t> The components calculated in this worksheet are reasonable starting values for a design using the TPS249x and TPS248x series of Hot-swap Controller. As such, they are not optimized for any particular performance attribute. Tolerances of the components are not included in the calculations. See the Instructions tab for additional information.</a:t>
          </a:r>
          <a:endParaRPr b="0" sz="1200" strike="noStrike">
            <a:latin typeface="Times New Roman"/>
            <a:ea typeface="Times New Roman"/>
            <a:cs typeface="Times New Roman"/>
            <a:sym typeface="Times New Roman"/>
          </a:endParaRPr>
        </a:p>
        <a:p>
          <a:pPr indent="0" lvl="0" marL="0" rtl="0" algn="l">
            <a:lnSpc>
              <a:spcPct val="100000"/>
            </a:lnSpc>
            <a:spcBef>
              <a:spcPts val="0"/>
            </a:spcBef>
            <a:spcAft>
              <a:spcPts val="0"/>
            </a:spcAft>
            <a:buClr>
              <a:srgbClr val="000000"/>
            </a:buClr>
            <a:buSzPts val="1200"/>
            <a:buFont typeface="Arial"/>
            <a:buNone/>
          </a:pPr>
          <a:r>
            <a:rPr b="1" lang="en-US" sz="1200" strike="noStrike">
              <a:solidFill>
                <a:srgbClr val="000000"/>
              </a:solidFill>
              <a:latin typeface="Arial"/>
              <a:ea typeface="Arial"/>
              <a:cs typeface="Arial"/>
              <a:sym typeface="Arial"/>
            </a:rPr>
            <a:t>Consult the TPS249x datasheet for more detail.</a:t>
          </a:r>
          <a:endParaRPr b="0" sz="1200" strike="noStrike">
            <a:latin typeface="Times New Roman"/>
            <a:ea typeface="Times New Roman"/>
            <a:cs typeface="Times New Roman"/>
            <a:sym typeface="Times New Roman"/>
          </a:endParaRPr>
        </a:p>
      </xdr:txBody>
    </xdr:sp>
    <xdr:clientData fLocksWithSheet="0"/>
  </xdr:oneCellAnchor>
  <xdr:oneCellAnchor>
    <xdr:from>
      <xdr:col>41</xdr:col>
      <xdr:colOff>-19050</xdr:colOff>
      <xdr:row>59</xdr:row>
      <xdr:rowOff>0</xdr:rowOff>
    </xdr:from>
    <xdr:ext cx="66675" cy="1543050"/>
    <xdr:sp>
      <xdr:nvSpPr>
        <xdr:cNvPr id="5" name="Shape 5"/>
        <xdr:cNvSpPr/>
      </xdr:nvSpPr>
      <xdr:spPr>
        <a:xfrm>
          <a:off x="5317425" y="3013238"/>
          <a:ext cx="57150" cy="1533525"/>
        </a:xfrm>
        <a:prstGeom prst="rect">
          <a:avLst/>
        </a:prstGeom>
        <a:solidFill>
          <a:srgbClr val="FFFFFF"/>
        </a:solidFill>
        <a:ln cap="flat" cmpd="sng" w="9525">
          <a:solidFill>
            <a:srgbClr val="000000"/>
          </a:solidFill>
          <a:prstDash val="solid"/>
          <a:miter lim="8000"/>
          <a:headEnd len="sm" w="sm" type="none"/>
          <a:tailEnd len="sm" w="sm" type="none"/>
        </a:ln>
      </xdr:spPr>
      <xdr:txBody>
        <a:bodyPr anchorCtr="0" anchor="t" bIns="0" lIns="27350" spcFirstLastPara="1" rIns="0" wrap="square" tIns="23025">
          <a:noAutofit/>
        </a:bodyPr>
        <a:lstStyle/>
        <a:p>
          <a:pPr indent="0" lvl="0" marL="0" rtl="0" algn="l">
            <a:lnSpc>
              <a:spcPct val="100000"/>
            </a:lnSpc>
            <a:spcBef>
              <a:spcPts val="0"/>
            </a:spcBef>
            <a:spcAft>
              <a:spcPts val="0"/>
            </a:spcAft>
            <a:buClr>
              <a:srgbClr val="000000"/>
            </a:buClr>
            <a:buSzPts val="1000"/>
            <a:buFont typeface="Arial"/>
            <a:buNone/>
          </a:pPr>
          <a:r>
            <a:rPr b="0" lang="en-US" sz="1000" strike="noStrike">
              <a:solidFill>
                <a:srgbClr val="000000"/>
              </a:solidFill>
              <a:latin typeface="Arial"/>
              <a:ea typeface="Arial"/>
              <a:cs typeface="Arial"/>
              <a:sym typeface="Arial"/>
            </a:rPr>
            <a:t>Max R</a:t>
          </a:r>
          <a:r>
            <a:rPr b="0" baseline="-25000" lang="en-US" sz="1000" strike="noStrike">
              <a:solidFill>
                <a:srgbClr val="000000"/>
              </a:solidFill>
              <a:latin typeface="Arial"/>
              <a:ea typeface="Arial"/>
              <a:cs typeface="Arial"/>
              <a:sym typeface="Arial"/>
            </a:rPr>
            <a:t>S</a:t>
          </a:r>
          <a:r>
            <a:rPr b="0" lang="en-US" sz="1000" strike="noStrike">
              <a:solidFill>
                <a:srgbClr val="000000"/>
              </a:solidFill>
              <a:latin typeface="Arial"/>
              <a:ea typeface="Arial"/>
              <a:cs typeface="Arial"/>
              <a:sym typeface="Arial"/>
            </a:rPr>
            <a:t> = </a:t>
          </a:r>
          <a:r>
            <a:rPr b="0" lang="en-US" sz="1000" u="sng" strike="noStrike">
              <a:solidFill>
                <a:srgbClr val="000000"/>
              </a:solidFill>
              <a:latin typeface="Arial"/>
              <a:ea typeface="Arial"/>
              <a:cs typeface="Arial"/>
              <a:sym typeface="Arial"/>
            </a:rPr>
            <a:t>            45 mV                 </a:t>
          </a:r>
          <a:endParaRPr b="0" sz="1000" strike="noStrike">
            <a:latin typeface="Times New Roman"/>
            <a:ea typeface="Times New Roman"/>
            <a:cs typeface="Times New Roman"/>
            <a:sym typeface="Times New Roman"/>
          </a:endParaRPr>
        </a:p>
        <a:p>
          <a:pPr indent="0" lvl="0" marL="0" rtl="0" algn="l">
            <a:lnSpc>
              <a:spcPct val="100000"/>
            </a:lnSpc>
            <a:spcBef>
              <a:spcPts val="0"/>
            </a:spcBef>
            <a:spcAft>
              <a:spcPts val="0"/>
            </a:spcAft>
            <a:buClr>
              <a:srgbClr val="000000"/>
            </a:buClr>
            <a:buSzPts val="1000"/>
            <a:buFont typeface="Arial"/>
            <a:buNone/>
          </a:pPr>
          <a:r>
            <a:rPr b="0" lang="en-US" sz="1000" strike="noStrike">
              <a:solidFill>
                <a:srgbClr val="000000"/>
              </a:solidFill>
              <a:latin typeface="Arial"/>
              <a:ea typeface="Arial"/>
              <a:cs typeface="Arial"/>
              <a:sym typeface="Arial"/>
            </a:rPr>
            <a:t>                (Max Load Current x 1.01)</a:t>
          </a:r>
          <a:endParaRPr b="0" sz="1000" strike="noStrike">
            <a:latin typeface="Times New Roman"/>
            <a:ea typeface="Times New Roman"/>
            <a:cs typeface="Times New Roman"/>
            <a:sym typeface="Times New Roman"/>
          </a:endParaRPr>
        </a:p>
        <a:p>
          <a:pPr indent="0" lvl="0" marL="0" rtl="0" algn="l">
            <a:lnSpc>
              <a:spcPct val="100000"/>
            </a:lnSpc>
            <a:spcBef>
              <a:spcPts val="0"/>
            </a:spcBef>
            <a:spcAft>
              <a:spcPts val="0"/>
            </a:spcAft>
            <a:buSzPts val="1000"/>
            <a:buFont typeface="Arial"/>
            <a:buNone/>
          </a:pPr>
          <a:r>
            <a:t/>
          </a:r>
          <a:endParaRPr b="0" sz="1000" strike="noStrike">
            <a:latin typeface="Times New Roman"/>
            <a:ea typeface="Times New Roman"/>
            <a:cs typeface="Times New Roman"/>
            <a:sym typeface="Times New Roman"/>
          </a:endParaRPr>
        </a:p>
        <a:p>
          <a:pPr indent="0" lvl="0" marL="0" rtl="0" algn="l">
            <a:lnSpc>
              <a:spcPct val="100000"/>
            </a:lnSpc>
            <a:spcBef>
              <a:spcPts val="0"/>
            </a:spcBef>
            <a:spcAft>
              <a:spcPts val="0"/>
            </a:spcAft>
            <a:buClr>
              <a:srgbClr val="000000"/>
            </a:buClr>
            <a:buSzPts val="800"/>
            <a:buFont typeface="Arial"/>
            <a:buNone/>
          </a:pPr>
          <a:r>
            <a:rPr b="0" lang="en-US" sz="800" strike="noStrike">
              <a:solidFill>
                <a:srgbClr val="000000"/>
              </a:solidFill>
              <a:latin typeface="Arial"/>
              <a:ea typeface="Arial"/>
              <a:cs typeface="Arial"/>
              <a:sym typeface="Arial"/>
            </a:rPr>
            <a:t>The 1.01 factor provides 1% margin from the max. normal load current.</a:t>
          </a:r>
          <a:endParaRPr b="0" sz="800" strike="noStrike">
            <a:latin typeface="Times New Roman"/>
            <a:ea typeface="Times New Roman"/>
            <a:cs typeface="Times New Roman"/>
            <a:sym typeface="Times New Roman"/>
          </a:endParaRPr>
        </a:p>
      </xdr:txBody>
    </xdr:sp>
    <xdr:clientData fLocksWithSheet="0"/>
  </xdr:oneCellAnchor>
  <xdr:oneCellAnchor>
    <xdr:from>
      <xdr:col>8</xdr:col>
      <xdr:colOff>19050</xdr:colOff>
      <xdr:row>43</xdr:row>
      <xdr:rowOff>133350</xdr:rowOff>
    </xdr:from>
    <xdr:ext cx="219075" cy="304800"/>
    <xdr:sp>
      <xdr:nvSpPr>
        <xdr:cNvPr id="6" name="Shape 6"/>
        <xdr:cNvSpPr/>
      </xdr:nvSpPr>
      <xdr:spPr>
        <a:xfrm>
          <a:off x="5241225" y="3632363"/>
          <a:ext cx="209550"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400050</xdr:colOff>
      <xdr:row>55</xdr:row>
      <xdr:rowOff>57150</xdr:rowOff>
    </xdr:from>
    <xdr:ext cx="219075" cy="266700"/>
    <xdr:sp>
      <xdr:nvSpPr>
        <xdr:cNvPr id="7" name="Shape 7"/>
        <xdr:cNvSpPr/>
      </xdr:nvSpPr>
      <xdr:spPr>
        <a:xfrm>
          <a:off x="5241225" y="3651413"/>
          <a:ext cx="209550"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628650</xdr:colOff>
      <xdr:row>69</xdr:row>
      <xdr:rowOff>0</xdr:rowOff>
    </xdr:from>
    <xdr:ext cx="17097375" cy="295275"/>
    <xdr:sp>
      <xdr:nvSpPr>
        <xdr:cNvPr id="8" name="Shape 8"/>
        <xdr:cNvSpPr/>
      </xdr:nvSpPr>
      <xdr:spPr>
        <a:xfrm>
          <a:off x="0" y="3637125"/>
          <a:ext cx="1069200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0</xdr:colOff>
      <xdr:row>40</xdr:row>
      <xdr:rowOff>114300</xdr:rowOff>
    </xdr:from>
    <xdr:ext cx="571500" cy="247650"/>
    <xdr:sp>
      <xdr:nvSpPr>
        <xdr:cNvPr id="9" name="Shape 9"/>
        <xdr:cNvSpPr/>
      </xdr:nvSpPr>
      <xdr:spPr>
        <a:xfrm>
          <a:off x="5065013" y="3660938"/>
          <a:ext cx="561975" cy="238125"/>
        </a:xfrm>
        <a:prstGeom prst="rect">
          <a:avLst/>
        </a:prstGeom>
        <a:solidFill>
          <a:srgbClr val="FFFFFF"/>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Clr>
              <a:srgbClr val="000000"/>
            </a:buClr>
            <a:buSzPts val="1200"/>
            <a:buFont typeface="Arial"/>
            <a:buNone/>
          </a:pPr>
          <a:r>
            <a:rPr b="0" lang="en-US" sz="1200" strike="noStrike">
              <a:solidFill>
                <a:srgbClr val="000000"/>
              </a:solidFill>
              <a:latin typeface="Arial"/>
              <a:ea typeface="Arial"/>
              <a:cs typeface="Arial"/>
              <a:sym typeface="Arial"/>
            </a:rPr>
            <a:t>R</a:t>
          </a:r>
          <a:r>
            <a:rPr b="0" baseline="-25000" lang="en-US" sz="1200" strike="noStrike">
              <a:solidFill>
                <a:srgbClr val="000000"/>
              </a:solidFill>
              <a:latin typeface="Arial"/>
              <a:ea typeface="Arial"/>
              <a:cs typeface="Arial"/>
              <a:sym typeface="Arial"/>
            </a:rPr>
            <a:t>CL1</a:t>
          </a:r>
          <a:endParaRPr b="0" sz="1200" strike="noStrike">
            <a:latin typeface="Times New Roman"/>
            <a:ea typeface="Times New Roman"/>
            <a:cs typeface="Times New Roman"/>
            <a:sym typeface="Times New Roman"/>
          </a:endParaRPr>
        </a:p>
      </xdr:txBody>
    </xdr:sp>
    <xdr:clientData fLocksWithSheet="0"/>
  </xdr:oneCellAnchor>
  <xdr:oneCellAnchor>
    <xdr:from>
      <xdr:col>10</xdr:col>
      <xdr:colOff>247650</xdr:colOff>
      <xdr:row>40</xdr:row>
      <xdr:rowOff>57150</xdr:rowOff>
    </xdr:from>
    <xdr:ext cx="571500" cy="295275"/>
    <xdr:sp>
      <xdr:nvSpPr>
        <xdr:cNvPr id="10" name="Shape 10"/>
        <xdr:cNvSpPr/>
      </xdr:nvSpPr>
      <xdr:spPr>
        <a:xfrm>
          <a:off x="5065013" y="3637125"/>
          <a:ext cx="561975" cy="285750"/>
        </a:xfrm>
        <a:prstGeom prst="rect">
          <a:avLst/>
        </a:prstGeom>
        <a:solidFill>
          <a:srgbClr val="FFFFFF"/>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Clr>
              <a:srgbClr val="000000"/>
            </a:buClr>
            <a:buSzPts val="1200"/>
            <a:buFont typeface="Arial"/>
            <a:buNone/>
          </a:pPr>
          <a:r>
            <a:rPr b="0" lang="en-US" sz="1200" strike="noStrike">
              <a:solidFill>
                <a:srgbClr val="000000"/>
              </a:solidFill>
              <a:latin typeface="Arial"/>
              <a:ea typeface="Arial"/>
              <a:cs typeface="Arial"/>
              <a:sym typeface="Arial"/>
            </a:rPr>
            <a:t>R</a:t>
          </a:r>
          <a:r>
            <a:rPr b="0" baseline="-25000" lang="en-US" sz="1200" strike="noStrike">
              <a:solidFill>
                <a:srgbClr val="000000"/>
              </a:solidFill>
              <a:latin typeface="Arial"/>
              <a:ea typeface="Arial"/>
              <a:cs typeface="Arial"/>
              <a:sym typeface="Arial"/>
            </a:rPr>
            <a:t>CL2</a:t>
          </a:r>
          <a:endParaRPr b="0" sz="1200" strike="noStrike">
            <a:latin typeface="Times New Roman"/>
            <a:ea typeface="Times New Roman"/>
            <a:cs typeface="Times New Roman"/>
            <a:sym typeface="Times New Roman"/>
          </a:endParaRPr>
        </a:p>
      </xdr:txBody>
    </xdr:sp>
    <xdr:clientData fLocksWithSheet="0"/>
  </xdr:oneCellAnchor>
  <xdr:oneCellAnchor>
    <xdr:from>
      <xdr:col>11</xdr:col>
      <xdr:colOff>95250</xdr:colOff>
      <xdr:row>46</xdr:row>
      <xdr:rowOff>0</xdr:rowOff>
    </xdr:from>
    <xdr:ext cx="142875" cy="247650"/>
    <xdr:sp>
      <xdr:nvSpPr>
        <xdr:cNvPr id="11" name="Shape 11"/>
        <xdr:cNvSpPr/>
      </xdr:nvSpPr>
      <xdr:spPr>
        <a:xfrm>
          <a:off x="5279325" y="3660938"/>
          <a:ext cx="133350" cy="238125"/>
        </a:xfrm>
        <a:prstGeom prst="rect">
          <a:avLst/>
        </a:prstGeom>
        <a:solidFill>
          <a:srgbClr val="FFFFFF"/>
        </a:solid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190500</xdr:colOff>
      <xdr:row>45</xdr:row>
      <xdr:rowOff>57150</xdr:rowOff>
    </xdr:from>
    <xdr:ext cx="1276350" cy="723900"/>
    <xdr:sp>
      <xdr:nvSpPr>
        <xdr:cNvPr id="12" name="Shape 12"/>
        <xdr:cNvSpPr/>
      </xdr:nvSpPr>
      <xdr:spPr>
        <a:xfrm>
          <a:off x="4712588" y="3422813"/>
          <a:ext cx="1266825" cy="714375"/>
        </a:xfrm>
        <a:prstGeom prst="rect">
          <a:avLst/>
        </a:prstGeom>
        <a:solidFill>
          <a:srgbClr val="FFFFFF"/>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Clr>
              <a:srgbClr val="000000"/>
            </a:buClr>
            <a:buSzPts val="2000"/>
            <a:buFont typeface="Calibri"/>
            <a:buNone/>
          </a:pPr>
          <a:r>
            <a:rPr b="1" lang="en-US" sz="2000" strike="noStrike">
              <a:solidFill>
                <a:srgbClr val="000000"/>
              </a:solidFill>
              <a:latin typeface="Calibri"/>
              <a:ea typeface="Calibri"/>
              <a:cs typeface="Calibri"/>
              <a:sym typeface="Calibri"/>
            </a:rPr>
            <a:t>TPS249x</a:t>
          </a:r>
          <a:endParaRPr b="0" sz="2000" strike="noStrike">
            <a:latin typeface="Times New Roman"/>
            <a:ea typeface="Times New Roman"/>
            <a:cs typeface="Times New Roman"/>
            <a:sym typeface="Times New Roman"/>
          </a:endParaRPr>
        </a:p>
      </xdr:txBody>
    </xdr:sp>
    <xdr:clientData fLocksWithSheet="0"/>
  </xdr:oneCellAnchor>
  <xdr:oneCellAnchor>
    <xdr:from>
      <xdr:col>8</xdr:col>
      <xdr:colOff>533400</xdr:colOff>
      <xdr:row>43</xdr:row>
      <xdr:rowOff>104775</xdr:rowOff>
    </xdr:from>
    <xdr:ext cx="523875" cy="266700"/>
    <xdr:sp>
      <xdr:nvSpPr>
        <xdr:cNvPr id="13" name="Shape 13"/>
        <xdr:cNvSpPr/>
      </xdr:nvSpPr>
      <xdr:spPr>
        <a:xfrm>
          <a:off x="5088825" y="3651413"/>
          <a:ext cx="514350" cy="257175"/>
        </a:xfrm>
        <a:prstGeom prst="rect">
          <a:avLst/>
        </a:prstGeom>
        <a:solidFill>
          <a:srgbClr val="FFFFFF"/>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Clr>
              <a:srgbClr val="000000"/>
            </a:buClr>
            <a:buSzPts val="1200"/>
            <a:buFont typeface="Calibri"/>
            <a:buNone/>
          </a:pPr>
          <a:r>
            <a:rPr b="0" lang="en-US" sz="1200" strike="noStrike">
              <a:solidFill>
                <a:srgbClr val="000000"/>
              </a:solidFill>
              <a:latin typeface="Calibri"/>
              <a:ea typeface="Calibri"/>
              <a:cs typeface="Calibri"/>
              <a:sym typeface="Calibri"/>
            </a:rPr>
            <a:t>VCC</a:t>
          </a:r>
          <a:endParaRPr b="0" sz="1200" strike="noStrike">
            <a:latin typeface="Times New Roman"/>
            <a:ea typeface="Times New Roman"/>
            <a:cs typeface="Times New Roman"/>
            <a:sym typeface="Times New Roman"/>
          </a:endParaRPr>
        </a:p>
      </xdr:txBody>
    </xdr:sp>
    <xdr:clientData fLocksWithSheet="0"/>
  </xdr:oneCellAnchor>
  <xdr:oneCellAnchor>
    <xdr:from>
      <xdr:col>9</xdr:col>
      <xdr:colOff>533400</xdr:colOff>
      <xdr:row>43</xdr:row>
      <xdr:rowOff>104775</xdr:rowOff>
    </xdr:from>
    <xdr:ext cx="638175" cy="266700"/>
    <xdr:sp>
      <xdr:nvSpPr>
        <xdr:cNvPr id="14" name="Shape 14"/>
        <xdr:cNvSpPr/>
      </xdr:nvSpPr>
      <xdr:spPr>
        <a:xfrm>
          <a:off x="5031675" y="3651413"/>
          <a:ext cx="628650" cy="257175"/>
        </a:xfrm>
        <a:prstGeom prst="rect">
          <a:avLst/>
        </a:prstGeom>
        <a:solidFill>
          <a:srgbClr val="FFFFFF"/>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Clr>
              <a:srgbClr val="000000"/>
            </a:buClr>
            <a:buSzPts val="1200"/>
            <a:buFont typeface="Calibri"/>
            <a:buNone/>
          </a:pPr>
          <a:r>
            <a:rPr b="0" lang="en-US" sz="1200" strike="noStrike">
              <a:solidFill>
                <a:srgbClr val="000000"/>
              </a:solidFill>
              <a:latin typeface="Calibri"/>
              <a:ea typeface="Calibri"/>
              <a:cs typeface="Calibri"/>
              <a:sym typeface="Calibri"/>
            </a:rPr>
            <a:t>SENSE</a:t>
          </a:r>
          <a:endParaRPr b="0" sz="1200" strike="noStrike">
            <a:latin typeface="Times New Roman"/>
            <a:ea typeface="Times New Roman"/>
            <a:cs typeface="Times New Roman"/>
            <a:sym typeface="Times New Roman"/>
          </a:endParaRPr>
        </a:p>
      </xdr:txBody>
    </xdr:sp>
    <xdr:clientData fLocksWithSheet="0"/>
  </xdr:oneCellAnchor>
  <xdr:oneCellAnchor>
    <xdr:from>
      <xdr:col>2</xdr:col>
      <xdr:colOff>381000</xdr:colOff>
      <xdr:row>104</xdr:row>
      <xdr:rowOff>19050</xdr:rowOff>
    </xdr:from>
    <xdr:ext cx="514350" cy="323850"/>
    <xdr:sp>
      <xdr:nvSpPr>
        <xdr:cNvPr id="15" name="Shape 15"/>
        <xdr:cNvSpPr/>
      </xdr:nvSpPr>
      <xdr:spPr>
        <a:xfrm>
          <a:off x="5093588" y="3622838"/>
          <a:ext cx="504825" cy="314325"/>
        </a:xfrm>
        <a:prstGeom prst="rect">
          <a:avLst/>
        </a:prstGeom>
        <a:solidFill>
          <a:srgbClr val="FFFFFF"/>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Clr>
              <a:srgbClr val="000000"/>
            </a:buClr>
            <a:buSzPts val="1200"/>
            <a:buFont typeface="Calibri"/>
            <a:buNone/>
          </a:pPr>
          <a:r>
            <a:rPr b="0" lang="en-US" sz="1200" strike="noStrike">
              <a:solidFill>
                <a:srgbClr val="000000"/>
              </a:solidFill>
              <a:latin typeface="Calibri"/>
              <a:ea typeface="Calibri"/>
              <a:cs typeface="Calibri"/>
              <a:sym typeface="Calibri"/>
            </a:rPr>
            <a:t>Q</a:t>
          </a:r>
          <a:r>
            <a:rPr b="0" baseline="-25000" lang="en-US" sz="1200" strike="noStrike">
              <a:solidFill>
                <a:srgbClr val="000000"/>
              </a:solidFill>
              <a:latin typeface="Calibri"/>
              <a:ea typeface="Calibri"/>
              <a:cs typeface="Calibri"/>
              <a:sym typeface="Calibri"/>
            </a:rPr>
            <a:t>1</a:t>
          </a:r>
          <a:endParaRPr b="0" sz="1200" strike="noStrike">
            <a:latin typeface="Times New Roman"/>
            <a:ea typeface="Times New Roman"/>
            <a:cs typeface="Times New Roman"/>
            <a:sym typeface="Times New Roman"/>
          </a:endParaRPr>
        </a:p>
      </xdr:txBody>
    </xdr:sp>
    <xdr:clientData fLocksWithSheet="0"/>
  </xdr:oneCellAnchor>
  <xdr:oneCellAnchor>
    <xdr:from>
      <xdr:col>1</xdr:col>
      <xdr:colOff>47625</xdr:colOff>
      <xdr:row>0</xdr:row>
      <xdr:rowOff>161925</xdr:rowOff>
    </xdr:from>
    <xdr:ext cx="1657350" cy="4286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95250</xdr:colOff>
      <xdr:row>133</xdr:row>
      <xdr:rowOff>85725</xdr:rowOff>
    </xdr:from>
    <xdr:ext cx="4029075" cy="0"/>
    <xdr:pic>
      <xdr:nvPicPr>
        <xdr:cNvPr id="0" name="image11.png"/>
        <xdr:cNvPicPr preferRelativeResize="0"/>
      </xdr:nvPicPr>
      <xdr:blipFill>
        <a:blip cstate="print" r:embed="rId5"/>
        <a:stretch>
          <a:fillRect/>
        </a:stretch>
      </xdr:blipFill>
      <xdr:spPr>
        <a:prstGeom prst="rect">
          <a:avLst/>
        </a:prstGeom>
        <a:noFill/>
      </xdr:spPr>
    </xdr:pic>
    <xdr:clientData fLocksWithSheet="0"/>
  </xdr:oneCellAnchor>
  <xdr:oneCellAnchor>
    <xdr:from>
      <xdr:col>38</xdr:col>
      <xdr:colOff>704850</xdr:colOff>
      <xdr:row>0</xdr:row>
      <xdr:rowOff>114300</xdr:rowOff>
    </xdr:from>
    <xdr:ext cx="2514600" cy="400050"/>
    <xdr:pic>
      <xdr:nvPicPr>
        <xdr:cNvPr id="0" name="image4.png"/>
        <xdr:cNvPicPr preferRelativeResize="0"/>
      </xdr:nvPicPr>
      <xdr:blipFill>
        <a:blip cstate="print" r:embed="rId6"/>
        <a:stretch>
          <a:fillRect/>
        </a:stretch>
      </xdr:blipFill>
      <xdr:spPr>
        <a:prstGeom prst="rect">
          <a:avLst/>
        </a:prstGeom>
        <a:noFill/>
      </xdr:spPr>
    </xdr:pic>
    <xdr:clientData fLocksWithSheet="0"/>
  </xdr:oneCellAnchor>
  <xdr:oneCellAnchor>
    <xdr:from>
      <xdr:col>8</xdr:col>
      <xdr:colOff>57150</xdr:colOff>
      <xdr:row>37</xdr:row>
      <xdr:rowOff>152400</xdr:rowOff>
    </xdr:from>
    <xdr:ext cx="2571750" cy="1981200"/>
    <xdr:pic>
      <xdr:nvPicPr>
        <xdr:cNvPr id="0" name="image3.pn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47625</xdr:colOff>
      <xdr:row>104</xdr:row>
      <xdr:rowOff>114300</xdr:rowOff>
    </xdr:from>
    <xdr:ext cx="4676775" cy="2752725"/>
    <xdr:pic>
      <xdr:nvPicPr>
        <xdr:cNvPr id="0" name="image6.pn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76200</xdr:colOff>
      <xdr:row>14</xdr:row>
      <xdr:rowOff>28575</xdr:rowOff>
    </xdr:from>
    <xdr:ext cx="1685925" cy="1514475"/>
    <xdr:pic>
      <xdr:nvPicPr>
        <xdr:cNvPr id="0" name="image10.png"/>
        <xdr:cNvPicPr preferRelativeResize="0"/>
      </xdr:nvPicPr>
      <xdr:blipFill>
        <a:blip cstate="print" r:embed="rId9"/>
        <a:stretch>
          <a:fillRect/>
        </a:stretch>
      </xdr:blipFill>
      <xdr:spPr>
        <a:prstGeom prst="rect">
          <a:avLst/>
        </a:prstGeom>
        <a:noFill/>
      </xdr:spPr>
    </xdr:pic>
    <xdr:clientData fLocksWithSheet="0"/>
  </xdr:oneCellAnchor>
  <xdr:oneCellAnchor>
    <xdr:from>
      <xdr:col>1</xdr:col>
      <xdr:colOff>38100</xdr:colOff>
      <xdr:row>27</xdr:row>
      <xdr:rowOff>9525</xdr:rowOff>
    </xdr:from>
    <xdr:ext cx="1743075" cy="942975"/>
    <xdr:pic>
      <xdr:nvPicPr>
        <xdr:cNvPr id="0" name="image5.pn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47625</xdr:colOff>
      <xdr:row>38</xdr:row>
      <xdr:rowOff>19050</xdr:rowOff>
    </xdr:from>
    <xdr:ext cx="1724025" cy="1143000"/>
    <xdr:pic>
      <xdr:nvPicPr>
        <xdr:cNvPr id="0" name="image5.pn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57150</xdr:colOff>
      <xdr:row>50</xdr:row>
      <xdr:rowOff>9525</xdr:rowOff>
    </xdr:from>
    <xdr:ext cx="1762125" cy="923925"/>
    <xdr:pic>
      <xdr:nvPicPr>
        <xdr:cNvPr id="0" name="image7.pn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57150</xdr:colOff>
      <xdr:row>68</xdr:row>
      <xdr:rowOff>9525</xdr:rowOff>
    </xdr:from>
    <xdr:ext cx="1857375" cy="1190625"/>
    <xdr:pic>
      <xdr:nvPicPr>
        <xdr:cNvPr id="0" name="image9.pn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91</xdr:row>
      <xdr:rowOff>180975</xdr:rowOff>
    </xdr:from>
    <xdr:ext cx="1914525" cy="1095375"/>
    <xdr:pic>
      <xdr:nvPicPr>
        <xdr:cNvPr id="0" name="image8.png"/>
        <xdr:cNvPicPr preferRelativeResize="0"/>
      </xdr:nvPicPr>
      <xdr:blipFill>
        <a:blip cstate="print" r:embed="rId1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561975</xdr:colOff>
      <xdr:row>26</xdr:row>
      <xdr:rowOff>85725</xdr:rowOff>
    </xdr:from>
    <xdr:ext cx="4095750" cy="3286125"/>
    <xdr:graphicFrame>
      <xdr:nvGraphicFramePr>
        <xdr:cNvPr id="1499771728" name="Chart 4"/>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ti.com/lit/pdf/slva673"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 Type="http://schemas.openxmlformats.org/officeDocument/2006/relationships/hyperlink" Target="https://training.ti.com/node/1133673" TargetMode="External"/><Relationship Id="rId10" Type="http://schemas.openxmlformats.org/officeDocument/2006/relationships/hyperlink" Target="https://training.ti.com/node/1133677" TargetMode="External"/><Relationship Id="rId13" Type="http://schemas.openxmlformats.org/officeDocument/2006/relationships/hyperlink" Target="https://training.ti.com/node/1133681" TargetMode="External"/><Relationship Id="rId12" Type="http://schemas.openxmlformats.org/officeDocument/2006/relationships/hyperlink" Target="https://training.ti.com/node/1133664" TargetMode="External"/><Relationship Id="rId1" Type="http://schemas.openxmlformats.org/officeDocument/2006/relationships/comments" Target="../comments1.xml"/><Relationship Id="rId2" Type="http://schemas.openxmlformats.org/officeDocument/2006/relationships/hyperlink" Target="http://www.ti.com/hotswap" TargetMode="External"/><Relationship Id="rId3" Type="http://schemas.openxmlformats.org/officeDocument/2006/relationships/hyperlink" Target="https://training.ti.com/node/1133677" TargetMode="External"/><Relationship Id="rId4" Type="http://schemas.openxmlformats.org/officeDocument/2006/relationships/hyperlink" Target="https://training.ti.com/node/1133673" TargetMode="External"/><Relationship Id="rId9" Type="http://schemas.openxmlformats.org/officeDocument/2006/relationships/hyperlink" Target="https://training.ti.com/node/1133677" TargetMode="External"/><Relationship Id="rId15" Type="http://schemas.openxmlformats.org/officeDocument/2006/relationships/vmlDrawing" Target="../drawings/vmlDrawing1.vml"/><Relationship Id="rId14" Type="http://schemas.openxmlformats.org/officeDocument/2006/relationships/drawing" Target="../drawings/drawing2.xml"/><Relationship Id="rId5" Type="http://schemas.openxmlformats.org/officeDocument/2006/relationships/hyperlink" Target="https://training.ti.com/node/1133664" TargetMode="External"/><Relationship Id="rId6" Type="http://schemas.openxmlformats.org/officeDocument/2006/relationships/hyperlink" Target="https://training.ti.com/node/1133681" TargetMode="External"/><Relationship Id="rId7" Type="http://schemas.openxmlformats.org/officeDocument/2006/relationships/hyperlink" Target="http://www.ti.com/product/TPS2490" TargetMode="External"/><Relationship Id="rId8" Type="http://schemas.openxmlformats.org/officeDocument/2006/relationships/hyperlink" Target="http://e2e.ti.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6.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75"/>
  </cols>
  <sheetData>
    <row r="1" ht="12.75" customHeight="1">
      <c r="A1" s="1"/>
      <c r="B1" s="2"/>
      <c r="C1" s="2"/>
      <c r="D1" s="2"/>
      <c r="E1" s="2"/>
      <c r="F1" s="2"/>
      <c r="G1" s="2"/>
      <c r="H1" s="2"/>
      <c r="I1" s="2"/>
      <c r="J1" s="2"/>
      <c r="K1" s="2"/>
      <c r="L1" s="2"/>
      <c r="M1" s="2"/>
      <c r="N1" s="2"/>
      <c r="O1" s="2"/>
      <c r="P1" s="3"/>
    </row>
    <row r="2" ht="12.75" customHeight="1">
      <c r="A2" s="4"/>
      <c r="B2" s="5"/>
      <c r="C2" s="5"/>
      <c r="D2" s="5"/>
      <c r="E2" s="5"/>
      <c r="F2" s="5"/>
      <c r="G2" s="5"/>
      <c r="H2" s="5"/>
      <c r="I2" s="5"/>
      <c r="J2" s="5"/>
      <c r="K2" s="5"/>
      <c r="L2" s="5"/>
      <c r="M2" s="5"/>
      <c r="N2" s="5"/>
      <c r="O2" s="5"/>
      <c r="P2" s="6"/>
    </row>
    <row r="3" ht="12.75" customHeight="1">
      <c r="A3" s="4"/>
      <c r="B3" s="5"/>
      <c r="C3" s="5"/>
      <c r="D3" s="7"/>
      <c r="E3" s="5"/>
      <c r="F3" s="5"/>
      <c r="G3" s="5"/>
      <c r="H3" s="5"/>
      <c r="I3" s="5"/>
      <c r="J3" s="5"/>
      <c r="K3" s="5"/>
      <c r="L3" s="8"/>
      <c r="M3" s="5"/>
      <c r="N3" s="5"/>
      <c r="O3" s="5"/>
      <c r="P3" s="6"/>
    </row>
    <row r="4" ht="12.75" customHeight="1">
      <c r="A4" s="4"/>
      <c r="B4" s="5"/>
      <c r="C4" s="5"/>
      <c r="D4" s="9"/>
      <c r="E4" s="5"/>
      <c r="F4" s="5"/>
      <c r="G4" s="5"/>
      <c r="H4" s="5"/>
      <c r="I4" s="5"/>
      <c r="J4" s="5"/>
      <c r="K4" s="5"/>
      <c r="L4" s="5"/>
      <c r="M4" s="5"/>
      <c r="N4" s="5"/>
      <c r="O4" s="5"/>
      <c r="P4" s="6"/>
    </row>
    <row r="5" ht="12.75" customHeight="1">
      <c r="A5" s="4"/>
      <c r="B5" s="5"/>
      <c r="C5" s="5"/>
      <c r="D5" s="5"/>
      <c r="E5" s="5"/>
      <c r="F5" s="5"/>
      <c r="G5" s="5"/>
      <c r="H5" s="5"/>
      <c r="I5" s="5"/>
      <c r="J5" s="5"/>
      <c r="K5" s="5"/>
      <c r="L5" s="5"/>
      <c r="M5" s="5"/>
      <c r="N5" s="5"/>
      <c r="O5" s="5"/>
      <c r="P5" s="6"/>
    </row>
    <row r="6" ht="12.75" customHeight="1">
      <c r="A6" s="4"/>
      <c r="B6" s="5"/>
      <c r="C6" s="5"/>
      <c r="D6" s="5"/>
      <c r="E6" s="5"/>
      <c r="F6" s="5"/>
      <c r="G6" s="5"/>
      <c r="H6" s="5"/>
      <c r="I6" s="5"/>
      <c r="J6" s="5"/>
      <c r="K6" s="5"/>
      <c r="L6" s="5"/>
      <c r="M6" s="5"/>
      <c r="N6" s="5"/>
      <c r="O6" s="5"/>
      <c r="P6" s="6"/>
    </row>
    <row r="7" ht="12.75" customHeight="1">
      <c r="A7" s="4"/>
      <c r="B7" s="5"/>
      <c r="C7" s="5"/>
      <c r="D7" s="5"/>
      <c r="E7" s="5"/>
      <c r="F7" s="5"/>
      <c r="G7" s="5"/>
      <c r="H7" s="5"/>
      <c r="I7" s="5"/>
      <c r="J7" s="5"/>
      <c r="K7" s="5"/>
      <c r="L7" s="5"/>
      <c r="M7" s="8" t="s">
        <v>0</v>
      </c>
      <c r="N7" s="5"/>
      <c r="O7" s="5"/>
      <c r="P7" s="6"/>
    </row>
    <row r="8" ht="12.75" customHeight="1">
      <c r="A8" s="4"/>
      <c r="B8" s="7" t="s">
        <v>1</v>
      </c>
      <c r="C8" s="5"/>
      <c r="D8" s="5"/>
      <c r="E8" s="5"/>
      <c r="F8" s="5"/>
      <c r="G8" s="5"/>
      <c r="H8" s="5"/>
      <c r="I8" s="5"/>
      <c r="J8" s="5"/>
      <c r="K8" s="5"/>
      <c r="L8" s="5"/>
      <c r="M8" s="5"/>
      <c r="N8" s="5"/>
      <c r="O8" s="5"/>
      <c r="P8" s="6"/>
    </row>
    <row r="9" ht="12.75" customHeight="1">
      <c r="A9" s="4"/>
      <c r="B9" s="5"/>
      <c r="C9" s="5"/>
      <c r="D9" s="5"/>
      <c r="E9" s="5"/>
      <c r="F9" s="5"/>
      <c r="G9" s="5"/>
      <c r="H9" s="5"/>
      <c r="I9" s="5"/>
      <c r="J9" s="5"/>
      <c r="K9" s="5"/>
      <c r="L9" s="5"/>
      <c r="M9" s="5"/>
      <c r="N9" s="5"/>
      <c r="O9" s="5"/>
      <c r="P9" s="6"/>
    </row>
    <row r="10" ht="12.75" customHeight="1">
      <c r="A10" s="4"/>
      <c r="B10" s="10" t="s">
        <v>2</v>
      </c>
      <c r="C10" s="5"/>
      <c r="D10" s="5"/>
      <c r="E10" s="5"/>
      <c r="F10" s="5"/>
      <c r="G10" s="5"/>
      <c r="H10" s="5"/>
      <c r="I10" s="5"/>
      <c r="J10" s="5"/>
      <c r="K10" s="5"/>
      <c r="L10" s="5"/>
      <c r="M10" s="5"/>
      <c r="N10" s="5"/>
      <c r="O10" s="5"/>
      <c r="P10" s="6"/>
    </row>
    <row r="11" ht="12.75" customHeight="1">
      <c r="A11" s="4"/>
      <c r="B11" s="11" t="s">
        <v>3</v>
      </c>
      <c r="C11" s="12"/>
      <c r="D11" s="12"/>
      <c r="E11" s="12"/>
      <c r="F11" s="5"/>
      <c r="G11" s="5"/>
      <c r="H11" s="5"/>
      <c r="I11" s="5"/>
      <c r="J11" s="5"/>
      <c r="K11" s="5"/>
      <c r="L11" s="5"/>
      <c r="M11" s="5"/>
      <c r="N11" s="5"/>
      <c r="O11" s="5"/>
      <c r="P11" s="6"/>
    </row>
    <row r="12" ht="12.75" customHeight="1">
      <c r="A12" s="4"/>
      <c r="B12" s="11" t="s">
        <v>4</v>
      </c>
      <c r="C12" s="12"/>
      <c r="D12" s="12"/>
      <c r="E12" s="12"/>
      <c r="F12" s="5"/>
      <c r="G12" s="5"/>
      <c r="H12" s="5"/>
      <c r="I12" s="5"/>
      <c r="J12" s="5"/>
      <c r="K12" s="5"/>
      <c r="L12" s="5"/>
      <c r="M12" s="5"/>
      <c r="N12" s="5"/>
      <c r="O12" s="5"/>
      <c r="P12" s="6"/>
    </row>
    <row r="13" ht="12.75" customHeight="1">
      <c r="A13" s="4"/>
      <c r="B13" s="11"/>
      <c r="C13" s="12"/>
      <c r="D13" s="12"/>
      <c r="E13" s="12"/>
      <c r="F13" s="5"/>
      <c r="G13" s="5"/>
      <c r="H13" s="5"/>
      <c r="I13" s="5"/>
      <c r="J13" s="5"/>
      <c r="K13" s="5"/>
      <c r="L13" s="5"/>
      <c r="M13" s="5"/>
      <c r="N13" s="5"/>
      <c r="O13" s="5"/>
      <c r="P13" s="6"/>
    </row>
    <row r="14" ht="12.75" customHeight="1">
      <c r="A14" s="4"/>
      <c r="B14" s="13" t="s">
        <v>5</v>
      </c>
      <c r="C14" s="14"/>
      <c r="D14" s="15"/>
      <c r="E14" s="5"/>
      <c r="F14" s="5"/>
      <c r="G14" s="5"/>
      <c r="H14" s="5"/>
      <c r="I14" s="5"/>
      <c r="J14" s="5"/>
      <c r="K14" s="5"/>
      <c r="L14" s="5"/>
      <c r="M14" s="5"/>
      <c r="N14" s="5"/>
      <c r="O14" s="5"/>
      <c r="P14" s="6"/>
    </row>
    <row r="15" ht="12.75" customHeight="1">
      <c r="A15" s="4"/>
      <c r="B15" s="16"/>
      <c r="C15" s="14"/>
      <c r="D15" s="14"/>
      <c r="E15" s="14"/>
      <c r="F15" s="14"/>
      <c r="G15" s="14"/>
      <c r="H15" s="14"/>
      <c r="I15" s="15"/>
      <c r="J15" s="5"/>
      <c r="K15" s="5"/>
      <c r="L15" s="5"/>
      <c r="M15" s="5"/>
      <c r="N15" s="5"/>
      <c r="O15" s="5"/>
      <c r="P15" s="6"/>
    </row>
    <row r="16" ht="12.75" customHeight="1">
      <c r="A16" s="4"/>
      <c r="B16" s="5"/>
      <c r="C16" s="5"/>
      <c r="D16" s="5"/>
      <c r="E16" s="5"/>
      <c r="F16" s="5"/>
      <c r="G16" s="5"/>
      <c r="H16" s="5"/>
      <c r="I16" s="5"/>
      <c r="J16" s="5"/>
      <c r="K16" s="5"/>
      <c r="L16" s="5"/>
      <c r="M16" s="5"/>
      <c r="N16" s="5"/>
      <c r="O16" s="5"/>
      <c r="P16" s="6"/>
    </row>
    <row r="17" ht="12.75" customHeight="1">
      <c r="A17" s="4"/>
      <c r="B17" s="17" t="s">
        <v>6</v>
      </c>
      <c r="C17" s="5"/>
      <c r="D17" s="5"/>
      <c r="E17" s="5"/>
      <c r="F17" s="5"/>
      <c r="G17" s="5"/>
      <c r="H17" s="5"/>
      <c r="I17" s="5"/>
      <c r="J17" s="5"/>
      <c r="K17" s="5"/>
      <c r="L17" s="5"/>
      <c r="M17" s="5"/>
      <c r="N17" s="5"/>
      <c r="O17" s="5"/>
      <c r="P17" s="6"/>
    </row>
    <row r="18" ht="12.75" customHeight="1">
      <c r="A18" s="4"/>
      <c r="B18" s="18" t="s">
        <v>7</v>
      </c>
      <c r="C18" s="5"/>
      <c r="D18" s="5"/>
      <c r="E18" s="5"/>
      <c r="F18" s="5"/>
      <c r="G18" s="5"/>
      <c r="H18" s="5"/>
      <c r="I18" s="5"/>
      <c r="J18" s="5"/>
      <c r="K18" s="5"/>
      <c r="L18" s="5"/>
      <c r="M18" s="5"/>
      <c r="N18" s="5"/>
      <c r="O18" s="5"/>
      <c r="P18" s="6"/>
    </row>
    <row r="19" ht="12.75" customHeight="1">
      <c r="A19" s="4"/>
      <c r="B19" s="18" t="s">
        <v>8</v>
      </c>
      <c r="C19" s="5"/>
      <c r="D19" s="5"/>
      <c r="E19" s="5"/>
      <c r="F19" s="5"/>
      <c r="G19" s="5"/>
      <c r="H19" s="5"/>
      <c r="I19" s="5"/>
      <c r="J19" s="5"/>
      <c r="K19" s="5"/>
      <c r="L19" s="5"/>
      <c r="M19" s="5"/>
      <c r="N19" s="5"/>
      <c r="O19" s="5"/>
      <c r="P19" s="6"/>
    </row>
    <row r="20" ht="12.75" customHeight="1">
      <c r="A20" s="4"/>
      <c r="B20" s="18" t="s">
        <v>9</v>
      </c>
      <c r="C20" s="5"/>
      <c r="D20" s="5"/>
      <c r="E20" s="5"/>
      <c r="F20" s="5"/>
      <c r="G20" s="5"/>
      <c r="H20" s="5"/>
      <c r="I20" s="5"/>
      <c r="J20" s="5"/>
      <c r="K20" s="5"/>
      <c r="L20" s="5"/>
      <c r="M20" s="5"/>
      <c r="N20" s="5"/>
      <c r="O20" s="5"/>
      <c r="P20" s="6"/>
    </row>
    <row r="21" ht="12.75" customHeight="1">
      <c r="A21" s="4"/>
      <c r="B21" s="18" t="s">
        <v>10</v>
      </c>
      <c r="C21" s="5"/>
      <c r="D21" s="5"/>
      <c r="E21" s="5"/>
      <c r="F21" s="5"/>
      <c r="G21" s="5"/>
      <c r="H21" s="5"/>
      <c r="I21" s="5"/>
      <c r="J21" s="5"/>
      <c r="K21" s="5"/>
      <c r="L21" s="5"/>
      <c r="M21" s="5"/>
      <c r="N21" s="5"/>
      <c r="O21" s="5"/>
      <c r="P21" s="6"/>
    </row>
    <row r="22" ht="12.75" customHeight="1">
      <c r="A22" s="4"/>
      <c r="B22" s="18" t="s">
        <v>11</v>
      </c>
      <c r="C22" s="5"/>
      <c r="D22" s="5"/>
      <c r="E22" s="5"/>
      <c r="F22" s="5"/>
      <c r="G22" s="5"/>
      <c r="H22" s="5"/>
      <c r="I22" s="5"/>
      <c r="J22" s="5"/>
      <c r="K22" s="5"/>
      <c r="L22" s="5"/>
      <c r="M22" s="5"/>
      <c r="N22" s="5"/>
      <c r="O22" s="5"/>
      <c r="P22" s="6"/>
    </row>
    <row r="23" ht="12.75" customHeight="1">
      <c r="A23" s="4"/>
      <c r="B23" s="18" t="s">
        <v>12</v>
      </c>
      <c r="C23" s="5"/>
      <c r="D23" s="5"/>
      <c r="E23" s="5"/>
      <c r="F23" s="5"/>
      <c r="G23" s="5"/>
      <c r="H23" s="5"/>
      <c r="I23" s="5"/>
      <c r="J23" s="5"/>
      <c r="K23" s="5"/>
      <c r="L23" s="5"/>
      <c r="M23" s="5"/>
      <c r="N23" s="5"/>
      <c r="O23" s="5"/>
      <c r="P23" s="6"/>
    </row>
    <row r="24" ht="12.75" customHeight="1">
      <c r="A24" s="4"/>
      <c r="B24" s="18" t="s">
        <v>13</v>
      </c>
      <c r="C24" s="5"/>
      <c r="D24" s="5"/>
      <c r="E24" s="5"/>
      <c r="F24" s="5"/>
      <c r="G24" s="5"/>
      <c r="H24" s="5"/>
      <c r="I24" s="5"/>
      <c r="J24" s="5"/>
      <c r="K24" s="5"/>
      <c r="L24" s="5"/>
      <c r="M24" s="5"/>
      <c r="N24" s="5"/>
      <c r="O24" s="5"/>
      <c r="P24" s="6"/>
    </row>
    <row r="25" ht="12.75" customHeight="1">
      <c r="A25" s="4"/>
      <c r="B25" s="18"/>
      <c r="C25" s="5"/>
      <c r="D25" s="5"/>
      <c r="E25" s="5"/>
      <c r="F25" s="5"/>
      <c r="G25" s="5"/>
      <c r="H25" s="5"/>
      <c r="I25" s="5"/>
      <c r="J25" s="5"/>
      <c r="K25" s="5"/>
      <c r="L25" s="5"/>
      <c r="M25" s="5"/>
      <c r="N25" s="5"/>
      <c r="O25" s="5"/>
      <c r="P25" s="6"/>
    </row>
    <row r="26" ht="12.75" customHeight="1">
      <c r="A26" s="4"/>
      <c r="B26" s="10" t="s">
        <v>14</v>
      </c>
      <c r="C26" s="5"/>
      <c r="D26" s="5"/>
      <c r="E26" s="5"/>
      <c r="F26" s="5"/>
      <c r="G26" s="5"/>
      <c r="H26" s="5"/>
      <c r="I26" s="5"/>
      <c r="J26" s="5"/>
      <c r="K26" s="5"/>
      <c r="L26" s="5"/>
      <c r="M26" s="5"/>
      <c r="N26" s="5"/>
      <c r="O26" s="5"/>
      <c r="P26" s="6"/>
    </row>
    <row r="27" ht="12.75" customHeight="1">
      <c r="A27" s="4"/>
      <c r="B27" s="5" t="s">
        <v>15</v>
      </c>
      <c r="C27" s="5"/>
      <c r="D27" s="5"/>
      <c r="E27" s="5"/>
      <c r="F27" s="5"/>
      <c r="G27" s="5"/>
      <c r="H27" s="5"/>
      <c r="I27" s="5"/>
      <c r="J27" s="5"/>
      <c r="K27" s="5"/>
      <c r="L27" s="5"/>
      <c r="M27" s="5"/>
      <c r="N27" s="5"/>
      <c r="O27" s="5"/>
      <c r="P27" s="6"/>
    </row>
    <row r="28" ht="12.75" customHeight="1">
      <c r="A28" s="4"/>
      <c r="B28" s="5" t="s">
        <v>16</v>
      </c>
      <c r="C28" s="5"/>
      <c r="D28" s="5"/>
      <c r="E28" s="5"/>
      <c r="F28" s="5"/>
      <c r="G28" s="5"/>
      <c r="H28" s="5"/>
      <c r="I28" s="5"/>
      <c r="J28" s="5"/>
      <c r="K28" s="5"/>
      <c r="L28" s="5"/>
      <c r="M28" s="5"/>
      <c r="N28" s="5"/>
      <c r="O28" s="5"/>
      <c r="P28" s="6"/>
    </row>
    <row r="29" ht="12.75" customHeight="1">
      <c r="A29" s="4"/>
      <c r="B29" s="5"/>
      <c r="C29" s="5"/>
      <c r="D29" s="5"/>
      <c r="E29" s="5"/>
      <c r="F29" s="5"/>
      <c r="G29" s="5"/>
      <c r="H29" s="5"/>
      <c r="I29" s="5"/>
      <c r="J29" s="5"/>
      <c r="K29" s="5"/>
      <c r="L29" s="5"/>
      <c r="M29" s="5"/>
      <c r="N29" s="5"/>
      <c r="O29" s="5"/>
      <c r="P29" s="6"/>
    </row>
    <row r="30" ht="12.75" customHeight="1">
      <c r="A30" s="4"/>
      <c r="B30" s="5" t="s">
        <v>17</v>
      </c>
      <c r="C30" s="5"/>
      <c r="D30" s="5"/>
      <c r="E30" s="5"/>
      <c r="F30" s="5"/>
      <c r="G30" s="5"/>
      <c r="H30" s="5"/>
      <c r="I30" s="5"/>
      <c r="J30" s="5"/>
      <c r="K30" s="5"/>
      <c r="L30" s="5"/>
      <c r="M30" s="5"/>
      <c r="N30" s="5"/>
      <c r="O30" s="5"/>
      <c r="P30" s="6"/>
    </row>
    <row r="31" ht="12.75" customHeight="1">
      <c r="A31" s="4"/>
      <c r="B31" s="5"/>
      <c r="C31" s="5"/>
      <c r="D31" s="5"/>
      <c r="E31" s="5"/>
      <c r="F31" s="5"/>
      <c r="G31" s="5"/>
      <c r="H31" s="5"/>
      <c r="I31" s="5"/>
      <c r="J31" s="5"/>
      <c r="K31" s="5"/>
      <c r="L31" s="5"/>
      <c r="M31" s="5"/>
      <c r="N31" s="5"/>
      <c r="O31" s="5"/>
      <c r="P31" s="6"/>
    </row>
    <row r="32" ht="12.75" customHeight="1">
      <c r="A32" s="4"/>
      <c r="B32" s="5" t="s">
        <v>18</v>
      </c>
      <c r="C32" s="5"/>
      <c r="D32" s="5"/>
      <c r="E32" s="5"/>
      <c r="F32" s="5"/>
      <c r="G32" s="5"/>
      <c r="H32" s="5"/>
      <c r="I32" s="5"/>
      <c r="J32" s="5"/>
      <c r="K32" s="5"/>
      <c r="L32" s="5"/>
      <c r="M32" s="5"/>
      <c r="N32" s="5"/>
      <c r="O32" s="5"/>
      <c r="P32" s="6"/>
    </row>
    <row r="33" ht="12.75" customHeight="1">
      <c r="A33" s="4"/>
      <c r="B33" s="5"/>
      <c r="C33" s="5"/>
      <c r="D33" s="5"/>
      <c r="E33" s="5"/>
      <c r="F33" s="5"/>
      <c r="G33" s="5"/>
      <c r="H33" s="5"/>
      <c r="I33" s="5"/>
      <c r="J33" s="5"/>
      <c r="K33" s="5"/>
      <c r="L33" s="5"/>
      <c r="M33" s="5"/>
      <c r="N33" s="5"/>
      <c r="O33" s="5"/>
      <c r="P33" s="6"/>
    </row>
    <row r="34" ht="12.75" customHeight="1">
      <c r="A34" s="4"/>
      <c r="B34" s="19" t="s">
        <v>19</v>
      </c>
      <c r="C34" s="20"/>
      <c r="D34" s="20"/>
      <c r="E34" s="20"/>
      <c r="F34" s="20"/>
      <c r="G34" s="20"/>
      <c r="H34" s="20"/>
      <c r="I34" s="20"/>
      <c r="J34" s="20"/>
      <c r="K34" s="20"/>
      <c r="L34" s="20"/>
      <c r="M34" s="21"/>
      <c r="N34" s="5"/>
      <c r="O34" s="5"/>
      <c r="P34" s="6"/>
    </row>
    <row r="35" ht="12.75" customHeight="1">
      <c r="A35" s="4"/>
      <c r="B35" s="22"/>
      <c r="M35" s="23"/>
      <c r="N35" s="5"/>
      <c r="O35" s="5"/>
      <c r="P35" s="6"/>
    </row>
    <row r="36" ht="12.75" customHeight="1">
      <c r="A36" s="4"/>
      <c r="B36" s="22"/>
      <c r="M36" s="23"/>
      <c r="N36" s="5"/>
      <c r="O36" s="5"/>
      <c r="P36" s="6"/>
    </row>
    <row r="37" ht="12.75" customHeight="1">
      <c r="A37" s="4"/>
      <c r="B37" s="22"/>
      <c r="M37" s="23"/>
      <c r="N37" s="5"/>
      <c r="O37" s="5"/>
      <c r="P37" s="6"/>
    </row>
    <row r="38" ht="12.75" customHeight="1">
      <c r="A38" s="4"/>
      <c r="B38" s="22"/>
      <c r="M38" s="23"/>
      <c r="N38" s="5"/>
      <c r="O38" s="5"/>
      <c r="P38" s="6"/>
    </row>
    <row r="39" ht="12.75" customHeight="1">
      <c r="A39" s="4"/>
      <c r="B39" s="22"/>
      <c r="M39" s="23"/>
      <c r="N39" s="5"/>
      <c r="O39" s="5"/>
      <c r="P39" s="6"/>
    </row>
    <row r="40" ht="12.75" customHeight="1">
      <c r="A40" s="4"/>
      <c r="B40" s="22"/>
      <c r="M40" s="23"/>
      <c r="N40" s="5"/>
      <c r="O40" s="5"/>
      <c r="P40" s="6"/>
    </row>
    <row r="41" ht="12.75" customHeight="1">
      <c r="A41" s="4"/>
      <c r="B41" s="22"/>
      <c r="M41" s="23"/>
      <c r="N41" s="5"/>
      <c r="O41" s="5"/>
      <c r="P41" s="6"/>
    </row>
    <row r="42" ht="12.75" customHeight="1">
      <c r="A42" s="4"/>
      <c r="B42" s="22"/>
      <c r="M42" s="23"/>
      <c r="N42" s="5"/>
      <c r="O42" s="5"/>
      <c r="P42" s="6"/>
    </row>
    <row r="43" ht="12.75" customHeight="1">
      <c r="A43" s="4"/>
      <c r="B43" s="22"/>
      <c r="M43" s="23"/>
      <c r="N43" s="5"/>
      <c r="O43" s="5"/>
      <c r="P43" s="6"/>
    </row>
    <row r="44" ht="12.75" customHeight="1">
      <c r="A44" s="4"/>
      <c r="B44" s="22"/>
      <c r="M44" s="23"/>
      <c r="N44" s="5"/>
      <c r="O44" s="5"/>
      <c r="P44" s="6"/>
    </row>
    <row r="45" ht="12.75" customHeight="1">
      <c r="A45" s="4"/>
      <c r="B45" s="22"/>
      <c r="M45" s="23"/>
      <c r="N45" s="5"/>
      <c r="O45" s="5"/>
      <c r="P45" s="6"/>
    </row>
    <row r="46" ht="12.75" customHeight="1">
      <c r="A46" s="4"/>
      <c r="B46" s="22"/>
      <c r="M46" s="23"/>
      <c r="N46" s="5"/>
      <c r="O46" s="5"/>
      <c r="P46" s="6"/>
    </row>
    <row r="47" ht="12.75" customHeight="1">
      <c r="A47" s="4"/>
      <c r="B47" s="22"/>
      <c r="M47" s="23"/>
      <c r="N47" s="5"/>
      <c r="O47" s="5"/>
      <c r="P47" s="6"/>
    </row>
    <row r="48" ht="12.75" customHeight="1">
      <c r="A48" s="4"/>
      <c r="B48" s="22"/>
      <c r="M48" s="23"/>
      <c r="N48" s="5"/>
      <c r="O48" s="5"/>
      <c r="P48" s="6"/>
    </row>
    <row r="49" ht="12.75" customHeight="1">
      <c r="A49" s="4"/>
      <c r="B49" s="22"/>
      <c r="M49" s="23"/>
      <c r="N49" s="5"/>
      <c r="O49" s="5"/>
      <c r="P49" s="6"/>
    </row>
    <row r="50" ht="12.75" customHeight="1">
      <c r="A50" s="4"/>
      <c r="B50" s="22"/>
      <c r="M50" s="23"/>
      <c r="N50" s="5"/>
      <c r="O50" s="5"/>
      <c r="P50" s="6"/>
    </row>
    <row r="51" ht="12.75" customHeight="1">
      <c r="A51" s="4"/>
      <c r="B51" s="22"/>
      <c r="M51" s="23"/>
      <c r="N51" s="5"/>
      <c r="O51" s="5"/>
      <c r="P51" s="6"/>
    </row>
    <row r="52" ht="12.75" customHeight="1">
      <c r="A52" s="4"/>
      <c r="B52" s="22"/>
      <c r="M52" s="23"/>
      <c r="N52" s="5"/>
      <c r="O52" s="5"/>
      <c r="P52" s="6"/>
    </row>
    <row r="53" ht="12.75" customHeight="1">
      <c r="A53" s="4"/>
      <c r="B53" s="22"/>
      <c r="M53" s="23"/>
      <c r="N53" s="5"/>
      <c r="O53" s="5"/>
      <c r="P53" s="6"/>
    </row>
    <row r="54" ht="12.75" customHeight="1">
      <c r="A54" s="4"/>
      <c r="B54" s="22"/>
      <c r="M54" s="23"/>
      <c r="N54" s="5"/>
      <c r="O54" s="5"/>
      <c r="P54" s="6"/>
    </row>
    <row r="55" ht="12.75" customHeight="1">
      <c r="A55" s="4"/>
      <c r="B55" s="22"/>
      <c r="M55" s="23"/>
      <c r="N55" s="5"/>
      <c r="O55" s="5"/>
      <c r="P55" s="6"/>
    </row>
    <row r="56" ht="12.75" customHeight="1">
      <c r="A56" s="4"/>
      <c r="B56" s="22"/>
      <c r="M56" s="23"/>
      <c r="N56" s="5"/>
      <c r="O56" s="5"/>
      <c r="P56" s="6"/>
    </row>
    <row r="57" ht="12.75" customHeight="1">
      <c r="A57" s="4"/>
      <c r="B57" s="22"/>
      <c r="M57" s="23"/>
      <c r="N57" s="5"/>
      <c r="O57" s="5"/>
      <c r="P57" s="6"/>
    </row>
    <row r="58" ht="12.75" customHeight="1">
      <c r="A58" s="4"/>
      <c r="B58" s="22"/>
      <c r="M58" s="23"/>
      <c r="N58" s="5"/>
      <c r="O58" s="5"/>
      <c r="P58" s="6"/>
    </row>
    <row r="59" ht="12.75" customHeight="1">
      <c r="A59" s="4"/>
      <c r="B59" s="22"/>
      <c r="M59" s="23"/>
      <c r="N59" s="5"/>
      <c r="O59" s="5"/>
      <c r="P59" s="6"/>
    </row>
    <row r="60" ht="12.75" customHeight="1">
      <c r="A60" s="4"/>
      <c r="B60" s="22"/>
      <c r="M60" s="23"/>
      <c r="N60" s="5"/>
      <c r="O60" s="5"/>
      <c r="P60" s="6"/>
    </row>
    <row r="61" ht="12.75" customHeight="1">
      <c r="A61" s="4"/>
      <c r="B61" s="22"/>
      <c r="M61" s="23"/>
      <c r="N61" s="5"/>
      <c r="O61" s="5"/>
      <c r="P61" s="6"/>
    </row>
    <row r="62" ht="12.75" customHeight="1">
      <c r="A62" s="4"/>
      <c r="B62" s="22"/>
      <c r="M62" s="23"/>
      <c r="N62" s="5"/>
      <c r="O62" s="5"/>
      <c r="P62" s="6"/>
    </row>
    <row r="63" ht="12.75" customHeight="1">
      <c r="A63" s="4"/>
      <c r="B63" s="22"/>
      <c r="M63" s="23"/>
      <c r="N63" s="5"/>
      <c r="O63" s="5"/>
      <c r="P63" s="6"/>
    </row>
    <row r="64" ht="12.75" customHeight="1">
      <c r="A64" s="4"/>
      <c r="B64" s="22"/>
      <c r="M64" s="23"/>
      <c r="N64" s="5"/>
      <c r="O64" s="5"/>
      <c r="P64" s="6"/>
    </row>
    <row r="65" ht="12.75" customHeight="1">
      <c r="A65" s="4"/>
      <c r="B65" s="22"/>
      <c r="M65" s="23"/>
      <c r="N65" s="5"/>
      <c r="O65" s="5"/>
      <c r="P65" s="6"/>
    </row>
    <row r="66" ht="12.75" customHeight="1">
      <c r="A66" s="4"/>
      <c r="B66" s="22"/>
      <c r="M66" s="23"/>
      <c r="N66" s="5"/>
      <c r="O66" s="5"/>
      <c r="P66" s="6"/>
    </row>
    <row r="67" ht="12.75" customHeight="1">
      <c r="A67" s="4"/>
      <c r="B67" s="22"/>
      <c r="M67" s="23"/>
      <c r="N67" s="5"/>
      <c r="O67" s="5"/>
      <c r="P67" s="6"/>
    </row>
    <row r="68" ht="12.75" customHeight="1">
      <c r="A68" s="4"/>
      <c r="B68" s="22"/>
      <c r="M68" s="23"/>
      <c r="N68" s="5"/>
      <c r="O68" s="5"/>
      <c r="P68" s="6"/>
    </row>
    <row r="69" ht="12.75" customHeight="1">
      <c r="A69" s="4"/>
      <c r="B69" s="22"/>
      <c r="M69" s="23"/>
      <c r="N69" s="5"/>
      <c r="O69" s="5"/>
      <c r="P69" s="6"/>
    </row>
    <row r="70" ht="12.75" customHeight="1">
      <c r="A70" s="4"/>
      <c r="B70" s="22"/>
      <c r="M70" s="23"/>
      <c r="N70" s="5"/>
      <c r="O70" s="5"/>
      <c r="P70" s="6"/>
    </row>
    <row r="71" ht="12.75" customHeight="1">
      <c r="A71" s="4"/>
      <c r="B71" s="22"/>
      <c r="M71" s="23"/>
      <c r="N71" s="5"/>
      <c r="O71" s="5"/>
      <c r="P71" s="6"/>
    </row>
    <row r="72" ht="12.75" customHeight="1">
      <c r="A72" s="4"/>
      <c r="B72" s="22"/>
      <c r="M72" s="23"/>
      <c r="N72" s="5"/>
      <c r="O72" s="5"/>
      <c r="P72" s="6"/>
    </row>
    <row r="73" ht="12.75" customHeight="1">
      <c r="A73" s="4"/>
      <c r="B73" s="22"/>
      <c r="M73" s="23"/>
      <c r="N73" s="5"/>
      <c r="O73" s="5"/>
      <c r="P73" s="6"/>
    </row>
    <row r="74" ht="12.75" customHeight="1">
      <c r="A74" s="4"/>
      <c r="B74" s="22"/>
      <c r="M74" s="23"/>
      <c r="N74" s="5"/>
      <c r="O74" s="5"/>
      <c r="P74" s="6"/>
    </row>
    <row r="75" ht="12.75" customHeight="1">
      <c r="A75" s="4"/>
      <c r="B75" s="22"/>
      <c r="M75" s="23"/>
      <c r="N75" s="5"/>
      <c r="O75" s="5"/>
      <c r="P75" s="6"/>
    </row>
    <row r="76" ht="12.75" customHeight="1">
      <c r="A76" s="4"/>
      <c r="B76" s="22"/>
      <c r="M76" s="23"/>
      <c r="N76" s="5"/>
      <c r="O76" s="5"/>
      <c r="P76" s="6"/>
    </row>
    <row r="77" ht="12.75" customHeight="1">
      <c r="A77" s="4"/>
      <c r="B77" s="22"/>
      <c r="M77" s="23"/>
      <c r="N77" s="5"/>
      <c r="O77" s="5"/>
      <c r="P77" s="6"/>
    </row>
    <row r="78" ht="12.75" customHeight="1">
      <c r="A78" s="4"/>
      <c r="B78" s="22"/>
      <c r="M78" s="23"/>
      <c r="N78" s="5"/>
      <c r="O78" s="5"/>
      <c r="P78" s="6"/>
    </row>
    <row r="79" ht="12.75" customHeight="1">
      <c r="A79" s="4"/>
      <c r="B79" s="22"/>
      <c r="M79" s="23"/>
      <c r="N79" s="5"/>
      <c r="O79" s="5"/>
      <c r="P79" s="6"/>
    </row>
    <row r="80" ht="12.75" customHeight="1">
      <c r="A80" s="4"/>
      <c r="B80" s="22"/>
      <c r="M80" s="23"/>
      <c r="N80" s="5"/>
      <c r="O80" s="5"/>
      <c r="P80" s="6"/>
    </row>
    <row r="81" ht="12.75" customHeight="1">
      <c r="A81" s="4"/>
      <c r="B81" s="22"/>
      <c r="M81" s="23"/>
      <c r="N81" s="5"/>
      <c r="O81" s="5"/>
      <c r="P81" s="6"/>
    </row>
    <row r="82" ht="12.75" customHeight="1">
      <c r="A82" s="4"/>
      <c r="B82" s="22"/>
      <c r="M82" s="23"/>
      <c r="N82" s="5"/>
      <c r="O82" s="5"/>
      <c r="P82" s="6"/>
    </row>
    <row r="83" ht="12.75" customHeight="1">
      <c r="A83" s="4"/>
      <c r="B83" s="22"/>
      <c r="M83" s="23"/>
      <c r="N83" s="5"/>
      <c r="O83" s="5"/>
      <c r="P83" s="6"/>
    </row>
    <row r="84" ht="12.75" customHeight="1">
      <c r="A84" s="4"/>
      <c r="B84" s="22"/>
      <c r="M84" s="23"/>
      <c r="N84" s="5"/>
      <c r="O84" s="5"/>
      <c r="P84" s="6"/>
    </row>
    <row r="85" ht="12.75" customHeight="1">
      <c r="A85" s="4"/>
      <c r="B85" s="22"/>
      <c r="M85" s="23"/>
      <c r="N85" s="5"/>
      <c r="O85" s="5"/>
      <c r="P85" s="6"/>
    </row>
    <row r="86" ht="12.75" customHeight="1">
      <c r="A86" s="4"/>
      <c r="B86" s="22"/>
      <c r="M86" s="23"/>
      <c r="N86" s="5"/>
      <c r="O86" s="5"/>
      <c r="P86" s="6"/>
    </row>
    <row r="87" ht="12.75" customHeight="1">
      <c r="A87" s="4"/>
      <c r="B87" s="22"/>
      <c r="M87" s="23"/>
      <c r="N87" s="5"/>
      <c r="O87" s="5"/>
      <c r="P87" s="6"/>
    </row>
    <row r="88" ht="12.75" customHeight="1">
      <c r="A88" s="4"/>
      <c r="B88" s="22"/>
      <c r="M88" s="23"/>
      <c r="N88" s="5"/>
      <c r="O88" s="5"/>
      <c r="P88" s="6"/>
    </row>
    <row r="89" ht="12.75" customHeight="1">
      <c r="A89" s="4"/>
      <c r="B89" s="22"/>
      <c r="M89" s="23"/>
      <c r="N89" s="5"/>
      <c r="O89" s="5"/>
      <c r="P89" s="6"/>
    </row>
    <row r="90" ht="12.75" customHeight="1">
      <c r="A90" s="4"/>
      <c r="B90" s="22"/>
      <c r="M90" s="23"/>
      <c r="N90" s="5"/>
      <c r="O90" s="5"/>
      <c r="P90" s="6"/>
    </row>
    <row r="91" ht="12.75" customHeight="1">
      <c r="A91" s="4"/>
      <c r="B91" s="22"/>
      <c r="M91" s="23"/>
      <c r="N91" s="5"/>
      <c r="O91" s="5"/>
      <c r="P91" s="6"/>
    </row>
    <row r="92" ht="12.75" customHeight="1">
      <c r="A92" s="4"/>
      <c r="B92" s="22"/>
      <c r="M92" s="23"/>
      <c r="N92" s="5"/>
      <c r="O92" s="5"/>
      <c r="P92" s="6"/>
    </row>
    <row r="93" ht="12.75" customHeight="1">
      <c r="A93" s="4"/>
      <c r="B93" s="22"/>
      <c r="M93" s="23"/>
      <c r="N93" s="5"/>
      <c r="O93" s="5"/>
      <c r="P93" s="6"/>
    </row>
    <row r="94" ht="12.75" customHeight="1">
      <c r="A94" s="4"/>
      <c r="B94" s="22"/>
      <c r="M94" s="23"/>
      <c r="N94" s="5"/>
      <c r="O94" s="5"/>
      <c r="P94" s="6"/>
    </row>
    <row r="95" ht="12.75" customHeight="1">
      <c r="A95" s="4"/>
      <c r="B95" s="22"/>
      <c r="M95" s="23"/>
      <c r="N95" s="5"/>
      <c r="O95" s="5"/>
      <c r="P95" s="6"/>
    </row>
    <row r="96" ht="12.75" customHeight="1">
      <c r="A96" s="24"/>
      <c r="B96" s="25"/>
      <c r="C96" s="26"/>
      <c r="D96" s="26"/>
      <c r="E96" s="26"/>
      <c r="F96" s="26"/>
      <c r="G96" s="26"/>
      <c r="H96" s="26"/>
      <c r="I96" s="26"/>
      <c r="J96" s="26"/>
      <c r="K96" s="26"/>
      <c r="L96" s="26"/>
      <c r="M96" s="27"/>
      <c r="N96" s="28"/>
      <c r="O96" s="28"/>
      <c r="P96" s="29"/>
    </row>
    <row r="97" ht="12.75" customHeight="1">
      <c r="A97" s="30"/>
      <c r="B97" s="30"/>
      <c r="C97" s="30"/>
      <c r="D97" s="30"/>
      <c r="E97" s="30"/>
      <c r="F97" s="30"/>
      <c r="G97" s="30"/>
      <c r="H97" s="30"/>
      <c r="I97" s="30"/>
      <c r="J97" s="30"/>
      <c r="K97" s="30"/>
      <c r="L97" s="30"/>
      <c r="M97" s="30"/>
      <c r="N97" s="30"/>
      <c r="O97" s="30"/>
      <c r="P97" s="30"/>
    </row>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14:D14"/>
    <mergeCell ref="B15:I15"/>
    <mergeCell ref="B34:M96"/>
  </mergeCells>
  <hyperlinks>
    <hyperlink r:id="rId1" ref="B14"/>
  </hyperlinks>
  <printOptions/>
  <pageMargins bottom="0.75" footer="0.0" header="0.0" left="0.7" right="0.7" top="0.75"/>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0.38"/>
    <col customWidth="1" min="2" max="2" width="26.25"/>
    <col customWidth="1" min="3" max="3" width="31.0"/>
    <col customWidth="1" min="4" max="4" width="16.63"/>
    <col customWidth="1" min="5" max="5" width="20.88"/>
    <col customWidth="1" min="6" max="6" width="15.75"/>
    <col customWidth="1" min="7" max="7" width="5.63"/>
    <col customWidth="1" min="8" max="8" width="9.63"/>
    <col customWidth="1" min="9" max="9" width="12.88"/>
    <col customWidth="1" min="10" max="10" width="8.88"/>
    <col customWidth="1" min="11" max="11" width="10.25"/>
    <col customWidth="1" min="12" max="12" width="8.88"/>
    <col customWidth="1" min="13" max="13" width="9.88"/>
    <col customWidth="1" hidden="1" min="14" max="19" width="11.63"/>
    <col customWidth="1" hidden="1" min="20" max="20" width="2.75"/>
    <col customWidth="1" hidden="1" min="21" max="21" width="3.0"/>
    <col customWidth="1" hidden="1" min="22" max="22" width="1.13"/>
    <col customWidth="1" hidden="1" min="23" max="23" width="3.75"/>
    <col customWidth="1" hidden="1" min="24" max="38" width="11.63"/>
    <col customWidth="1" min="39" max="39" width="11.75"/>
    <col customWidth="1" hidden="1" min="40" max="40" width="6.75"/>
    <col customWidth="1" hidden="1" min="41" max="41" width="9.25"/>
    <col customWidth="1" min="42" max="42" width="12.25"/>
    <col customWidth="1" min="43" max="43" width="12.0"/>
    <col customWidth="1" min="44" max="44" width="13.38"/>
    <col customWidth="1" hidden="1" min="45" max="45" width="14.63"/>
    <col customWidth="1" min="46" max="46" width="14.75"/>
  </cols>
  <sheetData>
    <row r="1" ht="60.75" customHeight="1">
      <c r="A1" s="31" t="s">
        <v>20</v>
      </c>
      <c r="B1" s="32"/>
      <c r="C1" s="32"/>
      <c r="D1" s="32"/>
      <c r="E1" s="32"/>
      <c r="F1" s="32"/>
      <c r="G1" s="32"/>
      <c r="H1" s="32"/>
      <c r="I1" s="32"/>
      <c r="J1" s="32"/>
      <c r="K1" s="32"/>
      <c r="L1" s="32"/>
      <c r="M1" s="33"/>
      <c r="N1" s="34"/>
      <c r="O1" s="34"/>
      <c r="P1" s="34"/>
      <c r="Q1" s="34"/>
      <c r="R1" s="35"/>
      <c r="S1" s="35"/>
      <c r="T1" s="36"/>
      <c r="U1" s="36"/>
      <c r="V1" s="36"/>
      <c r="W1" s="36"/>
      <c r="X1" s="36"/>
      <c r="Y1" s="36"/>
      <c r="Z1" s="36"/>
      <c r="AA1" s="36"/>
      <c r="AB1" s="36"/>
      <c r="AC1" s="36"/>
      <c r="AD1" s="36"/>
      <c r="AE1" s="36"/>
      <c r="AF1" s="36"/>
      <c r="AG1" s="36"/>
      <c r="AH1" s="36"/>
      <c r="AI1" s="36"/>
      <c r="AJ1" s="36"/>
      <c r="AK1" s="36"/>
      <c r="AL1" s="36"/>
      <c r="AM1" s="36"/>
      <c r="AN1" s="37"/>
      <c r="AO1" s="37"/>
      <c r="AP1" s="37"/>
      <c r="AQ1" s="37"/>
      <c r="AR1" s="37"/>
      <c r="AS1" s="37"/>
      <c r="AT1" s="37"/>
    </row>
    <row r="2" ht="12.75" customHeight="1">
      <c r="A2" s="38"/>
      <c r="B2" s="39" t="s">
        <v>21</v>
      </c>
      <c r="C2" s="38"/>
      <c r="D2" s="38"/>
      <c r="E2" s="38"/>
      <c r="F2" s="40"/>
      <c r="G2" s="40"/>
      <c r="H2" s="38"/>
      <c r="I2" s="38"/>
      <c r="J2" s="38"/>
      <c r="K2" s="38"/>
      <c r="L2" s="41"/>
      <c r="M2" s="15"/>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0"/>
      <c r="AO2" s="30"/>
      <c r="AP2" s="30"/>
      <c r="AQ2" s="30"/>
      <c r="AR2" s="30"/>
      <c r="AS2" s="30"/>
      <c r="AT2" s="30"/>
    </row>
    <row r="3" ht="12.75" customHeight="1">
      <c r="A3" s="38"/>
      <c r="B3" s="38"/>
      <c r="C3" s="38"/>
      <c r="D3" s="38"/>
      <c r="E3" s="38"/>
      <c r="F3" s="38"/>
      <c r="G3" s="40"/>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0"/>
      <c r="AO3" s="30"/>
      <c r="AP3" s="30"/>
      <c r="AQ3" s="30"/>
      <c r="AR3" s="30"/>
      <c r="AS3" s="30"/>
      <c r="AT3" s="30"/>
    </row>
    <row r="4" ht="12.75" customHeight="1">
      <c r="A4" s="38"/>
      <c r="B4" s="38"/>
      <c r="C4" s="38"/>
      <c r="D4" s="38"/>
      <c r="E4" s="38"/>
      <c r="F4" s="38"/>
      <c r="G4" s="40"/>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0"/>
      <c r="AO4" s="30"/>
      <c r="AP4" s="30"/>
      <c r="AQ4" s="30"/>
      <c r="AR4" s="30"/>
      <c r="AS4" s="30"/>
      <c r="AT4" s="30"/>
    </row>
    <row r="5" ht="12.75" customHeight="1">
      <c r="A5" s="38"/>
      <c r="B5" s="38"/>
      <c r="C5" s="38"/>
      <c r="D5" s="38"/>
      <c r="E5" s="38"/>
      <c r="F5" s="38"/>
      <c r="G5" s="40"/>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0"/>
      <c r="AO5" s="30"/>
      <c r="AP5" s="30"/>
      <c r="AQ5" s="30"/>
      <c r="AR5" s="30"/>
      <c r="AS5" s="30"/>
      <c r="AT5" s="30"/>
    </row>
    <row r="6" ht="12.75" customHeight="1">
      <c r="A6" s="38"/>
      <c r="B6" s="38"/>
      <c r="C6" s="38"/>
      <c r="D6" s="38"/>
      <c r="E6" s="38"/>
      <c r="F6" s="38"/>
      <c r="G6" s="40"/>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0"/>
      <c r="AO6" s="30"/>
      <c r="AP6" s="30"/>
      <c r="AQ6" s="30"/>
      <c r="AR6" s="30"/>
      <c r="AS6" s="30"/>
      <c r="AT6" s="30"/>
    </row>
    <row r="7" ht="12.75" customHeight="1">
      <c r="A7" s="38"/>
      <c r="B7" s="38"/>
      <c r="C7" s="38"/>
      <c r="D7" s="38"/>
      <c r="E7" s="38"/>
      <c r="F7" s="38"/>
      <c r="G7" s="40"/>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0"/>
      <c r="AO7" s="30"/>
      <c r="AP7" s="30"/>
      <c r="AQ7" s="30"/>
      <c r="AR7" s="30"/>
      <c r="AS7" s="30"/>
      <c r="AT7" s="30"/>
    </row>
    <row r="8" ht="12.75" customHeight="1">
      <c r="A8" s="38"/>
      <c r="B8" s="38"/>
      <c r="C8" s="38"/>
      <c r="D8" s="38"/>
      <c r="E8" s="38"/>
      <c r="F8" s="38"/>
      <c r="G8" s="40"/>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0"/>
      <c r="AO8" s="30"/>
      <c r="AP8" s="30"/>
      <c r="AQ8" s="30"/>
      <c r="AR8" s="30"/>
      <c r="AS8" s="30" t="s">
        <v>22</v>
      </c>
      <c r="AT8" s="30"/>
    </row>
    <row r="9" ht="15.0" customHeight="1">
      <c r="A9" s="38"/>
      <c r="B9" s="42"/>
      <c r="C9" s="43"/>
      <c r="D9" s="38" t="s">
        <v>23</v>
      </c>
      <c r="E9" s="44"/>
      <c r="F9" s="38"/>
      <c r="G9" s="40"/>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0"/>
      <c r="AO9" s="30"/>
      <c r="AP9" s="30"/>
      <c r="AQ9" s="30"/>
      <c r="AR9" s="30"/>
      <c r="AS9" s="30" t="s">
        <v>24</v>
      </c>
      <c r="AT9" s="30"/>
    </row>
    <row r="10" ht="15.0" customHeight="1">
      <c r="A10" s="38"/>
      <c r="B10" s="45"/>
      <c r="C10" s="46"/>
      <c r="D10" s="38" t="s">
        <v>25</v>
      </c>
      <c r="E10" s="40"/>
      <c r="F10" s="38"/>
      <c r="G10" s="40"/>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0"/>
      <c r="AO10" s="30"/>
      <c r="AP10" s="30"/>
      <c r="AQ10" s="30"/>
      <c r="AR10" s="30"/>
      <c r="AS10" s="30"/>
      <c r="AT10" s="30"/>
    </row>
    <row r="11" ht="22.5" customHeight="1">
      <c r="A11" s="38"/>
      <c r="B11" s="45"/>
      <c r="C11" s="47"/>
      <c r="D11" s="48" t="s">
        <v>26</v>
      </c>
      <c r="E11" s="49"/>
      <c r="F11" s="38"/>
      <c r="G11" s="40"/>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0"/>
      <c r="AO11" s="30"/>
      <c r="AP11" s="30"/>
      <c r="AQ11" s="30"/>
      <c r="AR11" s="30"/>
      <c r="AS11" s="30"/>
      <c r="AT11" s="30"/>
    </row>
    <row r="12" ht="21.0" customHeight="1">
      <c r="A12" s="38"/>
      <c r="B12" s="45"/>
      <c r="C12" s="50"/>
      <c r="D12" s="51"/>
      <c r="E12" s="52"/>
      <c r="F12" s="38"/>
      <c r="G12" s="40"/>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0"/>
      <c r="AO12" s="30"/>
      <c r="AP12" s="30"/>
      <c r="AQ12" s="30"/>
      <c r="AR12" s="30"/>
      <c r="AS12" s="30"/>
      <c r="AT12" s="30"/>
    </row>
    <row r="13" ht="21.0" customHeight="1">
      <c r="A13" s="38"/>
      <c r="B13" s="45"/>
      <c r="C13" s="53"/>
      <c r="D13" s="54"/>
      <c r="E13" s="54"/>
      <c r="F13" s="38"/>
      <c r="G13" s="40"/>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0"/>
      <c r="AO13" s="30"/>
      <c r="AP13" s="30"/>
      <c r="AQ13" s="30"/>
      <c r="AR13" s="30"/>
      <c r="AS13" s="30"/>
      <c r="AT13" s="30"/>
    </row>
    <row r="14" ht="21.0" customHeight="1">
      <c r="A14" s="38"/>
      <c r="B14" s="55" t="s">
        <v>27</v>
      </c>
      <c r="C14" s="56"/>
      <c r="D14" s="57" t="s">
        <v>28</v>
      </c>
      <c r="E14" s="20"/>
      <c r="F14" s="20"/>
      <c r="G14" s="58"/>
      <c r="H14" s="59"/>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1"/>
      <c r="AN14" s="30"/>
      <c r="AO14" s="30"/>
      <c r="AP14" s="30"/>
      <c r="AQ14" s="30"/>
      <c r="AR14" s="30"/>
      <c r="AS14" s="30"/>
      <c r="AT14" s="30"/>
    </row>
    <row r="15" ht="21.0" customHeight="1">
      <c r="A15" s="38"/>
      <c r="B15" s="62"/>
      <c r="C15" s="63"/>
      <c r="D15" s="64"/>
      <c r="E15" s="65"/>
      <c r="F15" s="65"/>
      <c r="G15" s="52"/>
      <c r="H15" s="66"/>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67"/>
      <c r="AN15" s="30"/>
      <c r="AO15" s="30"/>
      <c r="AP15" s="30"/>
      <c r="AQ15" s="30"/>
      <c r="AR15" s="30"/>
      <c r="AS15" s="30"/>
      <c r="AT15" s="30"/>
    </row>
    <row r="16" ht="12.75" customHeight="1">
      <c r="A16" s="38"/>
      <c r="B16" s="68"/>
      <c r="C16" s="63"/>
      <c r="D16" s="69" t="s">
        <v>29</v>
      </c>
      <c r="E16" s="14"/>
      <c r="F16" s="14"/>
      <c r="G16" s="14"/>
      <c r="H16" s="14"/>
      <c r="I16" s="15"/>
      <c r="J16" s="70"/>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67"/>
      <c r="AN16" s="30"/>
      <c r="AO16" s="30"/>
      <c r="AP16" s="30"/>
      <c r="AQ16" s="30"/>
      <c r="AR16" s="30"/>
      <c r="AS16" s="30"/>
      <c r="AT16" s="30"/>
    </row>
    <row r="17" ht="12.75" customHeight="1">
      <c r="A17" s="38"/>
      <c r="B17" s="71"/>
      <c r="C17" s="63"/>
      <c r="D17" s="69" t="s">
        <v>30</v>
      </c>
      <c r="E17" s="14"/>
      <c r="F17" s="14"/>
      <c r="G17" s="14"/>
      <c r="H17" s="14"/>
      <c r="I17" s="15"/>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67"/>
      <c r="AN17" s="30"/>
      <c r="AO17" s="30"/>
      <c r="AP17" s="30"/>
      <c r="AQ17" s="30"/>
      <c r="AR17" s="30"/>
      <c r="AS17" s="30"/>
      <c r="AT17" s="30"/>
    </row>
    <row r="18" ht="12.75" customHeight="1">
      <c r="A18" s="38"/>
      <c r="B18" s="71"/>
      <c r="C18" s="63"/>
      <c r="D18" s="69" t="s">
        <v>31</v>
      </c>
      <c r="E18" s="14"/>
      <c r="F18" s="14"/>
      <c r="G18" s="14"/>
      <c r="H18" s="14"/>
      <c r="I18" s="15"/>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67"/>
      <c r="AN18" s="30"/>
      <c r="AO18" s="30"/>
      <c r="AP18" s="30"/>
      <c r="AQ18" s="30"/>
      <c r="AR18" s="30"/>
      <c r="AS18" s="30"/>
      <c r="AT18" s="30"/>
    </row>
    <row r="19" ht="12.75" customHeight="1">
      <c r="A19" s="38"/>
      <c r="B19" s="72"/>
      <c r="C19" s="63"/>
      <c r="D19" s="69" t="s">
        <v>32</v>
      </c>
      <c r="E19" s="14"/>
      <c r="F19" s="14"/>
      <c r="G19" s="14"/>
      <c r="H19" s="14"/>
      <c r="I19" s="15"/>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67"/>
      <c r="AN19" s="30"/>
      <c r="AO19" s="30"/>
      <c r="AP19" s="30"/>
      <c r="AQ19" s="30"/>
      <c r="AR19" s="30"/>
      <c r="AS19" s="30"/>
      <c r="AT19" s="30"/>
    </row>
    <row r="20" ht="12.75" customHeight="1">
      <c r="A20" s="38"/>
      <c r="B20" s="73"/>
      <c r="C20" s="63"/>
      <c r="D20" s="74" t="s">
        <v>33</v>
      </c>
      <c r="E20" s="75"/>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67"/>
      <c r="AN20" s="30"/>
      <c r="AO20" s="30"/>
      <c r="AP20" s="30"/>
      <c r="AQ20" s="30"/>
      <c r="AR20" s="30"/>
      <c r="AS20" s="30"/>
      <c r="AT20" s="30"/>
    </row>
    <row r="21" ht="21.0" customHeight="1">
      <c r="A21" s="38"/>
      <c r="B21" s="76"/>
      <c r="C21" s="38"/>
      <c r="D21" s="38"/>
      <c r="E21" s="77"/>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67"/>
      <c r="AN21" s="30"/>
      <c r="AO21" s="30"/>
      <c r="AP21" s="30"/>
      <c r="AQ21" s="30"/>
      <c r="AR21" s="30"/>
      <c r="AS21" s="30"/>
      <c r="AT21" s="30"/>
    </row>
    <row r="22" ht="30.0" customHeight="1">
      <c r="A22" s="38"/>
      <c r="B22" s="76"/>
      <c r="C22" s="38"/>
      <c r="D22" s="78" t="s">
        <v>34</v>
      </c>
      <c r="E22" s="79"/>
      <c r="F22" s="80"/>
      <c r="G22" s="81" t="s">
        <v>22</v>
      </c>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67"/>
      <c r="AN22" s="30"/>
      <c r="AO22" s="30"/>
      <c r="AP22" s="30"/>
      <c r="AQ22" s="30"/>
      <c r="AR22" s="30"/>
      <c r="AS22" s="30"/>
      <c r="AT22" s="30"/>
    </row>
    <row r="23" ht="27.0" customHeight="1">
      <c r="A23" s="38"/>
      <c r="B23" s="76"/>
      <c r="C23" s="38"/>
      <c r="D23" s="82" t="s">
        <v>35</v>
      </c>
      <c r="E23" s="79"/>
      <c r="F23" s="80"/>
      <c r="G23" s="83" t="s">
        <v>22</v>
      </c>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67"/>
      <c r="AN23" s="30"/>
      <c r="AO23" s="30"/>
      <c r="AP23" s="30"/>
      <c r="AQ23" s="30"/>
      <c r="AR23" s="30"/>
      <c r="AS23" s="30"/>
      <c r="AT23" s="30"/>
    </row>
    <row r="24" ht="5.25" customHeight="1">
      <c r="A24" s="38"/>
      <c r="B24" s="76"/>
      <c r="C24" s="38"/>
      <c r="D24" s="84" t="s">
        <v>36</v>
      </c>
      <c r="E24" s="85"/>
      <c r="F24" s="49"/>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67"/>
      <c r="AN24" s="30"/>
      <c r="AO24" s="30"/>
      <c r="AP24" s="30"/>
      <c r="AQ24" s="30"/>
      <c r="AR24" s="30"/>
      <c r="AS24" s="30"/>
      <c r="AT24" s="30"/>
    </row>
    <row r="25" ht="21.0" customHeight="1">
      <c r="A25" s="38"/>
      <c r="B25" s="76"/>
      <c r="C25" s="38"/>
      <c r="D25" s="64"/>
      <c r="E25" s="65"/>
      <c r="F25" s="52"/>
      <c r="G25" s="86"/>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67"/>
      <c r="AN25" s="30"/>
      <c r="AO25" s="30"/>
      <c r="AP25" s="30"/>
      <c r="AQ25" s="30"/>
      <c r="AR25" s="30"/>
      <c r="AS25" s="30"/>
      <c r="AT25" s="30"/>
    </row>
    <row r="26" ht="15.0" customHeight="1">
      <c r="A26" s="38"/>
      <c r="B26" s="87"/>
      <c r="C26" s="88"/>
      <c r="D26" s="89"/>
      <c r="E26" s="89"/>
      <c r="F26" s="89"/>
      <c r="G26" s="90"/>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91"/>
      <c r="AN26" s="30"/>
      <c r="AO26" s="30"/>
      <c r="AP26" s="30"/>
      <c r="AQ26" s="30"/>
      <c r="AR26" s="30"/>
      <c r="AS26" s="30"/>
      <c r="AT26" s="30"/>
    </row>
    <row r="27" ht="15.0" customHeight="1">
      <c r="A27" s="38"/>
      <c r="B27" s="55" t="s">
        <v>37</v>
      </c>
      <c r="C27" s="60"/>
      <c r="D27" s="60"/>
      <c r="E27" s="92" t="s">
        <v>38</v>
      </c>
      <c r="F27" s="93">
        <v>38.0</v>
      </c>
      <c r="G27" s="94" t="s">
        <v>39</v>
      </c>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1"/>
      <c r="AN27" s="30"/>
      <c r="AO27" s="30"/>
      <c r="AP27" s="30"/>
      <c r="AQ27" s="30"/>
      <c r="AR27" s="30"/>
      <c r="AS27" s="30"/>
      <c r="AT27" s="30"/>
    </row>
    <row r="28" ht="15.0" customHeight="1">
      <c r="A28" s="38"/>
      <c r="B28" s="95"/>
      <c r="C28" s="38"/>
      <c r="D28" s="38"/>
      <c r="E28" s="77" t="s">
        <v>40</v>
      </c>
      <c r="F28" s="96">
        <v>48.0</v>
      </c>
      <c r="G28" s="97" t="s">
        <v>39</v>
      </c>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67"/>
      <c r="AN28" s="30"/>
      <c r="AO28" s="30"/>
      <c r="AP28" s="30"/>
      <c r="AQ28" s="30"/>
      <c r="AR28" s="30"/>
      <c r="AS28" s="30"/>
      <c r="AT28" s="30"/>
    </row>
    <row r="29" ht="15.0" customHeight="1">
      <c r="A29" s="38"/>
      <c r="B29" s="76"/>
      <c r="C29" s="38"/>
      <c r="D29" s="38"/>
      <c r="E29" s="77" t="s">
        <v>41</v>
      </c>
      <c r="F29" s="96">
        <v>58.4</v>
      </c>
      <c r="G29" s="97" t="s">
        <v>39</v>
      </c>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67"/>
      <c r="AN29" s="30"/>
      <c r="AO29" s="30"/>
      <c r="AP29" s="30"/>
      <c r="AQ29" s="30"/>
      <c r="AR29" s="30"/>
      <c r="AS29" s="30"/>
      <c r="AT29" s="30"/>
    </row>
    <row r="30" ht="15.0" customHeight="1">
      <c r="A30" s="38"/>
      <c r="B30" s="76"/>
      <c r="C30" s="38"/>
      <c r="D30" s="38"/>
      <c r="E30" s="77" t="s">
        <v>42</v>
      </c>
      <c r="F30" s="96">
        <v>45.0</v>
      </c>
      <c r="G30" s="97" t="s">
        <v>43</v>
      </c>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67"/>
      <c r="AN30" s="30"/>
      <c r="AO30" s="30"/>
      <c r="AP30" s="30"/>
      <c r="AQ30" s="30"/>
      <c r="AR30" s="30"/>
      <c r="AS30" s="30"/>
      <c r="AT30" s="30"/>
    </row>
    <row r="31" ht="15.0" customHeight="1">
      <c r="A31" s="38"/>
      <c r="B31" s="76"/>
      <c r="C31" s="38"/>
      <c r="D31" s="38"/>
      <c r="E31" s="77" t="s">
        <v>44</v>
      </c>
      <c r="F31" s="96">
        <v>2780.0</v>
      </c>
      <c r="G31" s="97" t="s">
        <v>45</v>
      </c>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67"/>
      <c r="AN31" s="30"/>
      <c r="AO31" s="30"/>
      <c r="AP31" s="30"/>
      <c r="AQ31" s="30"/>
      <c r="AR31" s="30"/>
      <c r="AS31" s="30"/>
      <c r="AT31" s="30"/>
    </row>
    <row r="32" ht="15.0" customHeight="1">
      <c r="A32" s="38"/>
      <c r="B32" s="76"/>
      <c r="C32" s="38"/>
      <c r="D32" s="38"/>
      <c r="E32" s="77" t="s">
        <v>46</v>
      </c>
      <c r="F32" s="98">
        <v>65.0</v>
      </c>
      <c r="G32" s="99" t="s">
        <v>47</v>
      </c>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67"/>
      <c r="AN32" s="30"/>
      <c r="AO32" s="30"/>
      <c r="AP32" s="30"/>
      <c r="AQ32" s="30"/>
      <c r="AR32" s="30"/>
      <c r="AS32" s="30"/>
      <c r="AT32" s="30"/>
    </row>
    <row r="33" ht="15.0" customHeight="1">
      <c r="A33" s="38"/>
      <c r="B33" s="100" t="s">
        <v>48</v>
      </c>
      <c r="C33" s="38"/>
      <c r="D33" s="38"/>
      <c r="E33" s="77"/>
      <c r="F33" s="101"/>
      <c r="G33" s="97"/>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67"/>
      <c r="AN33" s="30"/>
      <c r="AO33" s="30"/>
      <c r="AP33" s="30"/>
      <c r="AQ33" s="30"/>
      <c r="AR33" s="30"/>
      <c r="AS33" s="30"/>
      <c r="AT33" s="30"/>
    </row>
    <row r="34" ht="15.0" customHeight="1">
      <c r="A34" s="38"/>
      <c r="B34" s="72"/>
      <c r="C34" s="38"/>
      <c r="D34" s="38"/>
      <c r="E34" s="77"/>
      <c r="F34" s="101"/>
      <c r="G34" s="97"/>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67"/>
      <c r="AN34" s="30"/>
      <c r="AO34" s="30"/>
      <c r="AP34" s="30"/>
      <c r="AQ34" s="30"/>
      <c r="AR34" s="30"/>
      <c r="AS34" s="30"/>
      <c r="AT34" s="30"/>
    </row>
    <row r="35" ht="15.0" customHeight="1">
      <c r="A35" s="38"/>
      <c r="B35" s="76"/>
      <c r="C35" s="38"/>
      <c r="D35" s="38"/>
      <c r="E35" s="77"/>
      <c r="F35" s="101"/>
      <c r="G35" s="97"/>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67"/>
      <c r="AN35" s="30"/>
      <c r="AO35" s="30"/>
      <c r="AP35" s="30"/>
      <c r="AQ35" s="30"/>
      <c r="AR35" s="30"/>
      <c r="AS35" s="30"/>
      <c r="AT35" s="30"/>
    </row>
    <row r="36" ht="15.0" customHeight="1">
      <c r="A36" s="38"/>
      <c r="B36" s="76"/>
      <c r="C36" s="38"/>
      <c r="D36" s="38"/>
      <c r="E36" s="77"/>
      <c r="F36" s="101"/>
      <c r="G36" s="97"/>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67"/>
      <c r="AN36" s="30"/>
      <c r="AO36" s="30"/>
      <c r="AP36" s="30"/>
      <c r="AQ36" s="30"/>
      <c r="AR36" s="30"/>
      <c r="AS36" s="30"/>
      <c r="AT36" s="30"/>
    </row>
    <row r="37" ht="15.0" customHeight="1">
      <c r="A37" s="38"/>
      <c r="B37" s="87"/>
      <c r="C37" s="88"/>
      <c r="D37" s="88"/>
      <c r="E37" s="102"/>
      <c r="F37" s="103"/>
      <c r="G37" s="104"/>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91"/>
      <c r="AN37" s="30"/>
      <c r="AO37" s="30"/>
      <c r="AP37" s="30"/>
      <c r="AQ37" s="30"/>
      <c r="AR37" s="30"/>
      <c r="AS37" s="30"/>
      <c r="AT37" s="30"/>
    </row>
    <row r="38" ht="15.0" customHeight="1">
      <c r="A38" s="38"/>
      <c r="B38" s="55" t="s">
        <v>49</v>
      </c>
      <c r="C38" s="105"/>
      <c r="D38" s="60"/>
      <c r="E38" s="92" t="s">
        <v>50</v>
      </c>
      <c r="F38" s="106">
        <f>Equations!F20</f>
        <v>0.9900990099</v>
      </c>
      <c r="G38" s="94" t="s">
        <v>51</v>
      </c>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1"/>
      <c r="AN38" s="30" t="s">
        <v>52</v>
      </c>
      <c r="AO38" s="30"/>
      <c r="AP38" s="30"/>
      <c r="AQ38" s="30"/>
      <c r="AR38" s="30"/>
      <c r="AS38" s="30"/>
      <c r="AT38" s="30"/>
    </row>
    <row r="39" ht="15.0" customHeight="1">
      <c r="A39" s="38"/>
      <c r="B39" s="76"/>
      <c r="C39" s="38"/>
      <c r="D39" s="38"/>
      <c r="E39" s="77" t="s">
        <v>53</v>
      </c>
      <c r="F39" s="96" t="s">
        <v>24</v>
      </c>
      <c r="G39" s="97"/>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67"/>
      <c r="AN39" s="30" t="s">
        <v>22</v>
      </c>
      <c r="AO39" s="30"/>
      <c r="AP39" s="30"/>
      <c r="AQ39" s="30"/>
      <c r="AR39" s="30"/>
      <c r="AS39" s="30"/>
      <c r="AT39" s="30"/>
    </row>
    <row r="40" ht="15.0" customHeight="1">
      <c r="A40" s="38"/>
      <c r="B40" s="76"/>
      <c r="C40" s="38"/>
      <c r="D40" s="38"/>
      <c r="E40" s="77" t="s">
        <v>54</v>
      </c>
      <c r="F40" s="96">
        <v>1.0</v>
      </c>
      <c r="G40" s="97" t="s">
        <v>55</v>
      </c>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67"/>
      <c r="AN40" s="30" t="s">
        <v>24</v>
      </c>
      <c r="AO40" s="30"/>
      <c r="AP40" s="30"/>
      <c r="AQ40" s="30"/>
      <c r="AR40" s="30"/>
      <c r="AS40" s="30"/>
      <c r="AT40" s="30"/>
    </row>
    <row r="41" ht="15.0" customHeight="1">
      <c r="A41" s="38"/>
      <c r="B41" s="76"/>
      <c r="C41" s="38"/>
      <c r="D41" s="38"/>
      <c r="E41" s="77" t="s">
        <v>56</v>
      </c>
      <c r="F41" s="107">
        <f>Equations!F21</f>
        <v>10</v>
      </c>
      <c r="G41" s="108" t="s">
        <v>57</v>
      </c>
      <c r="H41" s="109"/>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67"/>
      <c r="AN41" s="30"/>
      <c r="AO41" s="30"/>
      <c r="AP41" s="30"/>
      <c r="AQ41" s="30"/>
      <c r="AR41" s="30"/>
      <c r="AS41" s="30"/>
      <c r="AT41" s="30"/>
    </row>
    <row r="42" ht="15.0" customHeight="1">
      <c r="A42" s="38"/>
      <c r="B42" s="76"/>
      <c r="C42" s="38"/>
      <c r="D42" s="38"/>
      <c r="E42" s="77" t="s">
        <v>58</v>
      </c>
      <c r="F42" s="110">
        <f>Equations!F22</f>
        <v>0</v>
      </c>
      <c r="G42" s="108" t="s">
        <v>57</v>
      </c>
      <c r="H42" s="109"/>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67"/>
      <c r="AN42" s="30"/>
      <c r="AO42" s="30"/>
      <c r="AP42" s="30"/>
      <c r="AQ42" s="30"/>
      <c r="AR42" s="30"/>
      <c r="AS42" s="30"/>
      <c r="AT42" s="30"/>
    </row>
    <row r="43" ht="15.0" customHeight="1">
      <c r="A43" s="38"/>
      <c r="B43" s="76"/>
      <c r="C43" s="38"/>
      <c r="D43" s="38"/>
      <c r="E43" s="77" t="s">
        <v>59</v>
      </c>
      <c r="F43" s="96">
        <v>10.0</v>
      </c>
      <c r="G43" s="108" t="s">
        <v>57</v>
      </c>
      <c r="H43" s="109"/>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67"/>
      <c r="AN43" s="30" t="b">
        <f>AND(F39="No")</f>
        <v>1</v>
      </c>
      <c r="AO43" s="30"/>
      <c r="AP43" s="30"/>
      <c r="AQ43" s="30"/>
      <c r="AR43" s="30"/>
      <c r="AS43" s="30"/>
      <c r="AT43" s="30"/>
    </row>
    <row r="44" ht="15.0" customHeight="1">
      <c r="A44" s="38"/>
      <c r="B44" s="76"/>
      <c r="C44" s="38"/>
      <c r="D44" s="38"/>
      <c r="E44" s="77" t="s">
        <v>60</v>
      </c>
      <c r="F44" s="96">
        <v>2.0</v>
      </c>
      <c r="G44" s="108" t="s">
        <v>57</v>
      </c>
      <c r="H44" s="109"/>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67"/>
      <c r="AN44" s="30"/>
      <c r="AO44" s="30"/>
      <c r="AP44" s="30"/>
      <c r="AQ44" s="30"/>
      <c r="AR44" s="30"/>
      <c r="AS44" s="30"/>
      <c r="AT44" s="30"/>
    </row>
    <row r="45" ht="15.0" customHeight="1">
      <c r="A45" s="38"/>
      <c r="B45" s="111" t="s">
        <v>48</v>
      </c>
      <c r="C45" s="38"/>
      <c r="D45" s="38"/>
      <c r="E45" s="77" t="s">
        <v>61</v>
      </c>
      <c r="F45" s="110">
        <f>RsEFF</f>
        <v>1</v>
      </c>
      <c r="G45" s="97" t="s">
        <v>62</v>
      </c>
      <c r="H45" s="109"/>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67"/>
      <c r="AN45" s="30"/>
      <c r="AO45" s="30"/>
      <c r="AP45" s="30"/>
      <c r="AQ45" s="30"/>
      <c r="AR45" s="30"/>
      <c r="AS45" s="30"/>
      <c r="AT45" s="30"/>
    </row>
    <row r="46" ht="15.0" customHeight="1">
      <c r="A46" s="38"/>
      <c r="B46" s="71"/>
      <c r="C46" s="38"/>
      <c r="D46" s="5"/>
      <c r="E46" s="112" t="s">
        <v>63</v>
      </c>
      <c r="F46" s="113">
        <f>CLMIN</f>
        <v>45</v>
      </c>
      <c r="G46" s="97" t="s">
        <v>43</v>
      </c>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67"/>
      <c r="AN46" s="30"/>
      <c r="AO46" s="30"/>
      <c r="AP46" s="30"/>
      <c r="AQ46" s="30"/>
      <c r="AR46" s="30"/>
      <c r="AS46" s="30"/>
      <c r="AT46" s="30"/>
    </row>
    <row r="47" ht="15.0" customHeight="1">
      <c r="A47" s="38"/>
      <c r="B47" s="72"/>
      <c r="C47" s="38"/>
      <c r="D47" s="114"/>
      <c r="E47" s="115" t="s">
        <v>64</v>
      </c>
      <c r="F47" s="113">
        <f>CLNOM</f>
        <v>50</v>
      </c>
      <c r="G47" s="97" t="s">
        <v>43</v>
      </c>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67"/>
      <c r="AN47" s="30"/>
      <c r="AO47" s="30"/>
      <c r="AP47" s="30"/>
      <c r="AQ47" s="30"/>
      <c r="AR47" s="30"/>
      <c r="AS47" s="30"/>
      <c r="AT47" s="30"/>
    </row>
    <row r="48" ht="15.0" customHeight="1">
      <c r="A48" s="38"/>
      <c r="B48" s="76"/>
      <c r="C48" s="38"/>
      <c r="D48" s="116"/>
      <c r="E48" s="117" t="s">
        <v>65</v>
      </c>
      <c r="F48" s="113">
        <f>CLMAX</f>
        <v>55</v>
      </c>
      <c r="G48" s="97" t="s">
        <v>43</v>
      </c>
      <c r="H48" s="38"/>
      <c r="I48" s="30"/>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67"/>
      <c r="AN48" s="30" t="s">
        <v>66</v>
      </c>
      <c r="AO48" s="30"/>
      <c r="AP48" s="30"/>
      <c r="AQ48" s="30"/>
      <c r="AR48" s="30"/>
      <c r="AS48" s="30"/>
      <c r="AT48" s="30"/>
    </row>
    <row r="49" ht="15.0" customHeight="1">
      <c r="A49" s="38"/>
      <c r="B49" s="76"/>
      <c r="C49" s="38"/>
      <c r="D49" s="38"/>
      <c r="E49" s="77" t="s">
        <v>67</v>
      </c>
      <c r="F49" s="118">
        <f>Equations!F27/1000</f>
        <v>3.025</v>
      </c>
      <c r="G49" s="97" t="s">
        <v>57</v>
      </c>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67"/>
      <c r="AN49" s="30" t="s">
        <v>68</v>
      </c>
      <c r="AO49" s="30"/>
      <c r="AP49" s="30"/>
      <c r="AQ49" s="30"/>
      <c r="AR49" s="30"/>
      <c r="AS49" s="30"/>
      <c r="AT49" s="30"/>
    </row>
    <row r="50" ht="12.75" customHeight="1">
      <c r="A50" s="38"/>
      <c r="B50" s="55" t="s">
        <v>69</v>
      </c>
      <c r="C50" s="60"/>
      <c r="D50" s="60"/>
      <c r="E50" s="119" t="s">
        <v>70</v>
      </c>
      <c r="F50" s="120" t="s">
        <v>71</v>
      </c>
      <c r="G50" s="94"/>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1"/>
      <c r="AN50" s="30"/>
      <c r="AO50" s="30"/>
      <c r="AP50" s="30"/>
      <c r="AQ50" s="30"/>
      <c r="AR50" s="30"/>
      <c r="AS50" s="30"/>
      <c r="AT50" s="30"/>
    </row>
    <row r="51" ht="12.75" customHeight="1">
      <c r="A51" s="38"/>
      <c r="B51" s="76"/>
      <c r="C51" s="38"/>
      <c r="D51" s="38"/>
      <c r="E51" s="121" t="s">
        <v>72</v>
      </c>
      <c r="F51" s="122">
        <v>16.9</v>
      </c>
      <c r="G51" s="99" t="s">
        <v>73</v>
      </c>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67"/>
      <c r="AN51" s="30">
        <f>((((TJMAX-TAMB)/ThetaJA)/(CLMAX^2))*1000)*NUMFETS^2</f>
        <v>8.606777838</v>
      </c>
      <c r="AO51" s="30">
        <f>((TJMAX-TAMB)/ThetaJA)</f>
        <v>6.50887574</v>
      </c>
      <c r="AP51" s="30"/>
      <c r="AQ51" s="30"/>
      <c r="AR51" s="30"/>
      <c r="AS51" s="30"/>
      <c r="AT51" s="30"/>
    </row>
    <row r="52" ht="12.75" customHeight="1">
      <c r="A52" s="38"/>
      <c r="B52" s="76"/>
      <c r="C52" s="38"/>
      <c r="D52" s="38"/>
      <c r="E52" s="121" t="s">
        <v>74</v>
      </c>
      <c r="F52" s="96">
        <v>2.0</v>
      </c>
      <c r="G52" s="97" t="s">
        <v>75</v>
      </c>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67"/>
      <c r="AN52" s="123" t="s">
        <v>76</v>
      </c>
      <c r="AO52" s="30"/>
      <c r="AP52" s="30"/>
      <c r="AQ52" s="30"/>
      <c r="AR52" s="30"/>
      <c r="AS52" s="30"/>
      <c r="AT52" s="30"/>
    </row>
    <row r="53" ht="12.75" customHeight="1">
      <c r="A53" s="38"/>
      <c r="B53" s="76"/>
      <c r="C53" s="38"/>
      <c r="D53" s="38"/>
      <c r="E53" s="121" t="s">
        <v>77</v>
      </c>
      <c r="F53" s="96">
        <v>3.24</v>
      </c>
      <c r="G53" s="97" t="s">
        <v>78</v>
      </c>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67"/>
      <c r="AN53" s="30">
        <f t="shared" ref="AN53:AN59" si="1">F53</f>
        <v>3.24</v>
      </c>
      <c r="AO53" s="30"/>
      <c r="AP53" s="30"/>
      <c r="AQ53" s="30"/>
      <c r="AR53" s="30"/>
      <c r="AS53" s="30"/>
      <c r="AT53" s="30"/>
    </row>
    <row r="54" ht="12.75" customHeight="1">
      <c r="A54" s="38"/>
      <c r="B54" s="76"/>
      <c r="C54" s="38"/>
      <c r="D54" s="38"/>
      <c r="E54" s="121" t="s">
        <v>79</v>
      </c>
      <c r="F54" s="96">
        <v>175.0</v>
      </c>
      <c r="G54" s="99" t="s">
        <v>80</v>
      </c>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67"/>
      <c r="AN54" s="30">
        <f t="shared" si="1"/>
        <v>175</v>
      </c>
      <c r="AO54" s="30"/>
      <c r="AP54" s="30"/>
      <c r="AQ54" s="30"/>
      <c r="AR54" s="30"/>
      <c r="AS54" s="30"/>
      <c r="AT54" s="30"/>
    </row>
    <row r="55" ht="12.75" customHeight="1">
      <c r="A55" s="38"/>
      <c r="B55" s="124"/>
      <c r="C55" s="38"/>
      <c r="D55" s="38"/>
      <c r="E55" s="121" t="s">
        <v>81</v>
      </c>
      <c r="F55" s="125">
        <v>90.0</v>
      </c>
      <c r="G55" s="97" t="s">
        <v>43</v>
      </c>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67"/>
      <c r="AN55" s="126">
        <f t="shared" si="1"/>
        <v>90</v>
      </c>
      <c r="AO55" s="30"/>
      <c r="AP55" s="30"/>
      <c r="AQ55" s="30"/>
      <c r="AR55" s="30"/>
      <c r="AS55" s="30"/>
      <c r="AT55" s="30"/>
    </row>
    <row r="56" ht="12.75" customHeight="1">
      <c r="A56" s="38"/>
      <c r="B56" s="124"/>
      <c r="C56" s="38"/>
      <c r="D56" s="38"/>
      <c r="E56" s="121" t="s">
        <v>82</v>
      </c>
      <c r="F56" s="125">
        <v>15.0</v>
      </c>
      <c r="G56" s="97" t="s">
        <v>43</v>
      </c>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67"/>
      <c r="AN56" s="126">
        <f t="shared" si="1"/>
        <v>15</v>
      </c>
      <c r="AO56" s="30"/>
      <c r="AP56" s="30"/>
      <c r="AQ56" s="30"/>
      <c r="AR56" s="30"/>
      <c r="AS56" s="30"/>
      <c r="AT56" s="30"/>
    </row>
    <row r="57" ht="12.75" customHeight="1">
      <c r="A57" s="38"/>
      <c r="B57" s="127" t="s">
        <v>69</v>
      </c>
      <c r="C57" s="38"/>
      <c r="D57" s="38"/>
      <c r="E57" s="121" t="s">
        <v>83</v>
      </c>
      <c r="F57" s="125">
        <v>7.0</v>
      </c>
      <c r="G57" s="97" t="s">
        <v>43</v>
      </c>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67"/>
      <c r="AN57" s="126">
        <f t="shared" si="1"/>
        <v>7</v>
      </c>
      <c r="AO57" s="30"/>
      <c r="AP57" s="30"/>
      <c r="AQ57" s="30"/>
      <c r="AR57" s="30"/>
      <c r="AS57" s="30"/>
      <c r="AT57" s="30"/>
    </row>
    <row r="58" ht="12.75" customHeight="1">
      <c r="A58" s="38"/>
      <c r="B58" s="124"/>
      <c r="C58" s="38"/>
      <c r="D58" s="38"/>
      <c r="E58" s="121" t="s">
        <v>84</v>
      </c>
      <c r="F58" s="125">
        <v>6.5</v>
      </c>
      <c r="G58" s="97" t="s">
        <v>43</v>
      </c>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67"/>
      <c r="AN58" s="126">
        <f t="shared" si="1"/>
        <v>6.5</v>
      </c>
      <c r="AO58" s="30"/>
      <c r="AP58" s="30"/>
      <c r="AQ58" s="30"/>
      <c r="AR58" s="30"/>
      <c r="AS58" s="30"/>
      <c r="AT58" s="30"/>
    </row>
    <row r="59" ht="12.75" customHeight="1">
      <c r="A59" s="38"/>
      <c r="B59" s="124"/>
      <c r="C59" s="38"/>
      <c r="D59" s="38"/>
      <c r="E59" s="121" t="s">
        <v>85</v>
      </c>
      <c r="F59" s="125">
        <v>6.5</v>
      </c>
      <c r="G59" s="97" t="s">
        <v>43</v>
      </c>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67"/>
      <c r="AN59" s="126">
        <f t="shared" si="1"/>
        <v>6.5</v>
      </c>
      <c r="AO59" s="30"/>
      <c r="AP59" s="30"/>
      <c r="AQ59" s="30"/>
      <c r="AR59" s="30"/>
      <c r="AS59" s="30"/>
      <c r="AT59" s="30"/>
    </row>
    <row r="60" ht="15.0" customHeight="1">
      <c r="A60" s="38"/>
      <c r="B60" s="124"/>
      <c r="C60" s="38"/>
      <c r="D60" s="38"/>
      <c r="E60" s="121" t="s">
        <v>86</v>
      </c>
      <c r="F60" s="128">
        <f>(IOUTMAX/NUMFETS)^2*RDSON/1000</f>
        <v>1.64025</v>
      </c>
      <c r="G60" s="97" t="s">
        <v>57</v>
      </c>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67"/>
      <c r="AN60" s="30"/>
      <c r="AO60" s="30"/>
      <c r="AP60" s="30"/>
      <c r="AQ60" s="30"/>
      <c r="AR60" s="30"/>
      <c r="AS60" s="30"/>
      <c r="AT60" s="129"/>
    </row>
    <row r="61" ht="15.0" customHeight="1">
      <c r="A61" s="38"/>
      <c r="B61" s="129" t="s">
        <v>87</v>
      </c>
      <c r="C61" s="38"/>
      <c r="D61" s="38"/>
      <c r="E61" s="121" t="s">
        <v>88</v>
      </c>
      <c r="F61" s="128">
        <f>TAMB+(FETPDISS*ThetaJA)</f>
        <v>92.720225</v>
      </c>
      <c r="G61" s="99" t="s">
        <v>89</v>
      </c>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67"/>
      <c r="AN61" s="30"/>
      <c r="AO61" s="30"/>
      <c r="AP61" s="30"/>
      <c r="AQ61" s="30"/>
      <c r="AR61" s="30"/>
      <c r="AS61" s="30"/>
      <c r="AT61" s="71"/>
    </row>
    <row r="62" ht="15.0" customHeight="1">
      <c r="A62" s="38"/>
      <c r="B62" s="71"/>
      <c r="C62" s="38"/>
      <c r="D62" s="38"/>
      <c r="E62" s="77" t="s">
        <v>90</v>
      </c>
      <c r="F62" s="128">
        <f>Equations!F38</f>
        <v>292</v>
      </c>
      <c r="G62" s="97" t="s">
        <v>57</v>
      </c>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67"/>
      <c r="AN62" s="30"/>
      <c r="AO62" s="30"/>
      <c r="AP62" s="30"/>
      <c r="AQ62" s="30"/>
      <c r="AR62" s="30"/>
      <c r="AS62" s="30"/>
      <c r="AT62" s="71"/>
    </row>
    <row r="63" ht="15.0" customHeight="1">
      <c r="A63" s="38"/>
      <c r="B63" s="71"/>
      <c r="C63" s="38"/>
      <c r="D63" s="38"/>
      <c r="E63" s="77" t="s">
        <v>91</v>
      </c>
      <c r="F63" s="125">
        <v>300.0</v>
      </c>
      <c r="G63" s="97" t="s">
        <v>57</v>
      </c>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67"/>
      <c r="AN63" s="30"/>
      <c r="AO63" s="30"/>
      <c r="AP63" s="30"/>
      <c r="AQ63" s="30"/>
      <c r="AR63" s="30"/>
      <c r="AS63" s="30"/>
      <c r="AT63" s="71"/>
    </row>
    <row r="64" ht="15.0" customHeight="1">
      <c r="A64" s="38"/>
      <c r="B64" s="71"/>
      <c r="C64" s="38"/>
      <c r="D64" s="38"/>
      <c r="E64" s="77" t="s">
        <v>92</v>
      </c>
      <c r="F64" s="125">
        <v>53.6</v>
      </c>
      <c r="G64" s="97" t="s">
        <v>93</v>
      </c>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67"/>
      <c r="AN64" s="30"/>
      <c r="AO64" s="30"/>
      <c r="AP64" s="30"/>
      <c r="AQ64" s="30"/>
      <c r="AR64" s="30"/>
      <c r="AS64" s="30"/>
      <c r="AT64" s="71"/>
    </row>
    <row r="65" ht="15.0" customHeight="1">
      <c r="A65" s="38"/>
      <c r="B65" s="71"/>
      <c r="C65" s="38"/>
      <c r="D65" s="38"/>
      <c r="E65" s="77" t="s">
        <v>94</v>
      </c>
      <c r="F65" s="130">
        <f>Equations!F43</f>
        <v>9.458823529</v>
      </c>
      <c r="G65" s="97" t="s">
        <v>95</v>
      </c>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67"/>
      <c r="AN65" s="30"/>
      <c r="AO65" s="30"/>
      <c r="AP65" s="30"/>
      <c r="AQ65" s="30"/>
      <c r="AR65" s="30"/>
      <c r="AS65" s="30"/>
      <c r="AT65" s="71"/>
    </row>
    <row r="66" ht="15.0" customHeight="1">
      <c r="A66" s="38"/>
      <c r="B66" s="71"/>
      <c r="C66" s="38"/>
      <c r="D66" s="38"/>
      <c r="E66" s="77" t="s">
        <v>96</v>
      </c>
      <c r="F66" s="96">
        <v>10.0</v>
      </c>
      <c r="G66" s="97" t="s">
        <v>97</v>
      </c>
      <c r="H66" s="38"/>
      <c r="I66" s="131" t="s">
        <v>98</v>
      </c>
      <c r="J66" s="85"/>
      <c r="K66" s="85"/>
      <c r="L66" s="85"/>
      <c r="M66" s="49"/>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67"/>
      <c r="AN66" s="30"/>
      <c r="AO66" s="30"/>
      <c r="AP66" s="30"/>
      <c r="AQ66" s="30"/>
      <c r="AR66" s="30"/>
      <c r="AS66" s="30"/>
      <c r="AT66" s="72"/>
    </row>
    <row r="67" ht="15.0" customHeight="1">
      <c r="A67" s="38"/>
      <c r="B67" s="72"/>
      <c r="C67" s="38"/>
      <c r="D67" s="38"/>
      <c r="E67" s="77" t="s">
        <v>99</v>
      </c>
      <c r="F67" s="130">
        <f>Equations!F47</f>
        <v>314.4654088</v>
      </c>
      <c r="G67" s="97" t="s">
        <v>57</v>
      </c>
      <c r="H67" s="38"/>
      <c r="I67" s="132"/>
      <c r="J67" s="26"/>
      <c r="K67" s="26"/>
      <c r="L67" s="26"/>
      <c r="M67" s="133"/>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67"/>
      <c r="AN67" s="30"/>
      <c r="AO67" s="30"/>
      <c r="AP67" s="30"/>
      <c r="AQ67" s="30"/>
      <c r="AR67" s="30"/>
      <c r="AS67" s="30"/>
      <c r="AT67" s="30"/>
    </row>
    <row r="68" ht="12.75" customHeight="1">
      <c r="A68" s="38"/>
      <c r="B68" s="55" t="s">
        <v>100</v>
      </c>
      <c r="C68" s="60"/>
      <c r="D68" s="60"/>
      <c r="E68" s="119" t="s">
        <v>101</v>
      </c>
      <c r="F68" s="93">
        <v>48.0</v>
      </c>
      <c r="G68" s="94" t="s">
        <v>39</v>
      </c>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1"/>
      <c r="AN68" s="30"/>
      <c r="AO68" s="30"/>
      <c r="AP68" s="30"/>
      <c r="AQ68" s="30"/>
      <c r="AR68" s="30"/>
      <c r="AS68" s="30"/>
      <c r="AT68" s="30"/>
    </row>
    <row r="69" ht="12.75" customHeight="1">
      <c r="A69" s="38"/>
      <c r="B69" s="134"/>
      <c r="C69" s="38"/>
      <c r="D69" s="38"/>
      <c r="E69" s="121" t="s">
        <v>102</v>
      </c>
      <c r="F69" s="96" t="s">
        <v>103</v>
      </c>
      <c r="G69" s="97"/>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67"/>
      <c r="AN69" s="30"/>
      <c r="AO69" s="30"/>
      <c r="AP69" s="30"/>
      <c r="AQ69" s="30"/>
      <c r="AR69" s="30"/>
      <c r="AS69" s="30"/>
      <c r="AT69" s="30"/>
    </row>
    <row r="70" ht="12.75" customHeight="1">
      <c r="A70" s="38"/>
      <c r="B70" s="76"/>
      <c r="C70" s="38"/>
      <c r="D70" s="38"/>
      <c r="E70" s="121" t="s">
        <v>104</v>
      </c>
      <c r="F70" s="96">
        <v>12.0</v>
      </c>
      <c r="G70" s="97" t="str">
        <f>IF(F69="Constant Current","A","Ohms")</f>
        <v>A</v>
      </c>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67"/>
      <c r="AN70" s="30" t="s">
        <v>103</v>
      </c>
      <c r="AO70" s="30"/>
      <c r="AP70" s="30"/>
      <c r="AQ70" s="30"/>
      <c r="AR70" s="30"/>
      <c r="AS70" s="30"/>
      <c r="AT70" s="30"/>
    </row>
    <row r="71" ht="12.75" customHeight="1">
      <c r="A71" s="38"/>
      <c r="B71" s="76"/>
      <c r="C71" s="38"/>
      <c r="D71" s="38"/>
      <c r="E71" s="77" t="s">
        <v>105</v>
      </c>
      <c r="F71" s="96" t="s">
        <v>22</v>
      </c>
      <c r="G71" s="97"/>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67"/>
      <c r="AN71" s="30" t="s">
        <v>106</v>
      </c>
      <c r="AO71" s="30"/>
      <c r="AP71" s="30"/>
      <c r="AQ71" s="30"/>
      <c r="AR71" s="30"/>
      <c r="AS71" s="30"/>
      <c r="AT71" s="30"/>
    </row>
    <row r="72" ht="12.75" customHeight="1">
      <c r="A72" s="38"/>
      <c r="B72" s="76"/>
      <c r="C72" s="38"/>
      <c r="D72" s="38"/>
      <c r="E72" s="121" t="s">
        <v>107</v>
      </c>
      <c r="F72" s="130">
        <f>Start_up!M2</f>
        <v>103.5272727</v>
      </c>
      <c r="G72" s="97" t="s">
        <v>108</v>
      </c>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67"/>
      <c r="AN72" s="30"/>
      <c r="AO72" s="30"/>
      <c r="AP72" s="30"/>
      <c r="AQ72" s="30"/>
      <c r="AR72" s="30"/>
      <c r="AS72" s="30"/>
      <c r="AT72" s="30"/>
    </row>
    <row r="73" ht="12.75" customHeight="1">
      <c r="A73" s="38"/>
      <c r="B73" s="76"/>
      <c r="C73" s="38"/>
      <c r="D73" s="38"/>
      <c r="E73" s="121" t="s">
        <v>109</v>
      </c>
      <c r="F73" s="135">
        <f>Start_up!O2</f>
        <v>0.1155794089</v>
      </c>
      <c r="G73" s="97"/>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67"/>
      <c r="AN73" s="30"/>
      <c r="AO73" s="30"/>
      <c r="AP73" s="30"/>
      <c r="AQ73" s="30"/>
      <c r="AR73" s="30"/>
      <c r="AS73" s="30"/>
      <c r="AT73" s="30"/>
    </row>
    <row r="74" ht="12.75" customHeight="1">
      <c r="A74" s="38"/>
      <c r="B74" s="134"/>
      <c r="C74" s="38"/>
      <c r="D74" s="38"/>
      <c r="E74" s="77" t="s">
        <v>110</v>
      </c>
      <c r="F74" s="130">
        <f>Equations!F55</f>
        <v>181.1727273</v>
      </c>
      <c r="G74" s="97" t="s">
        <v>108</v>
      </c>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67"/>
      <c r="AN74" s="30"/>
      <c r="AO74" s="30"/>
      <c r="AP74" s="30"/>
      <c r="AQ74" s="30"/>
      <c r="AR74" s="30"/>
      <c r="AS74" s="30"/>
      <c r="AT74" s="30"/>
    </row>
    <row r="75" ht="12.0" customHeight="1">
      <c r="A75" s="38"/>
      <c r="B75" s="76"/>
      <c r="C75" s="38"/>
      <c r="D75" s="38"/>
      <c r="E75" s="121" t="s">
        <v>111</v>
      </c>
      <c r="F75" s="130">
        <f>Equations!F56</f>
        <v>1132.329545</v>
      </c>
      <c r="G75" s="97" t="s">
        <v>112</v>
      </c>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67"/>
      <c r="AN75" s="30"/>
      <c r="AO75" s="30"/>
      <c r="AP75" s="30"/>
      <c r="AQ75" s="30"/>
      <c r="AR75" s="30"/>
      <c r="AS75" s="30"/>
      <c r="AT75" s="30"/>
    </row>
    <row r="76" ht="15.0" customHeight="1">
      <c r="A76" s="38"/>
      <c r="B76" s="76"/>
      <c r="C76" s="38"/>
      <c r="D76" s="38"/>
      <c r="E76" s="121" t="s">
        <v>113</v>
      </c>
      <c r="F76" s="96">
        <v>33.0</v>
      </c>
      <c r="G76" s="97" t="s">
        <v>112</v>
      </c>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67"/>
      <c r="AN76" s="30"/>
      <c r="AO76" s="30"/>
      <c r="AP76" s="30"/>
      <c r="AQ76" s="30"/>
      <c r="AR76" s="30"/>
      <c r="AS76" s="30"/>
      <c r="AT76" s="30"/>
    </row>
    <row r="77" ht="15.0" customHeight="1">
      <c r="A77" s="38"/>
      <c r="B77" s="136" t="s">
        <v>100</v>
      </c>
      <c r="C77" s="38"/>
      <c r="D77" s="38"/>
      <c r="E77" s="121" t="s">
        <v>114</v>
      </c>
      <c r="F77" s="130">
        <f>Equations!F58</f>
        <v>5.28</v>
      </c>
      <c r="G77" s="97" t="s">
        <v>108</v>
      </c>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67"/>
      <c r="AN77" s="30"/>
      <c r="AO77" s="30"/>
      <c r="AP77" s="30"/>
      <c r="AQ77" s="30"/>
      <c r="AR77" s="30"/>
      <c r="AS77" s="30"/>
      <c r="AT77" s="30"/>
    </row>
    <row r="78" ht="15.0" customHeight="1">
      <c r="A78" s="38"/>
      <c r="B78" s="76"/>
      <c r="C78" s="38"/>
      <c r="D78" s="38"/>
      <c r="E78" s="121" t="s">
        <v>115</v>
      </c>
      <c r="F78" s="130">
        <f>Equations!F59</f>
        <v>1.307888534</v>
      </c>
      <c r="G78" s="97"/>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67"/>
      <c r="AN78" s="30"/>
      <c r="AO78" s="30"/>
      <c r="AP78" s="30"/>
      <c r="AQ78" s="30"/>
      <c r="AR78" s="30"/>
      <c r="AS78" s="30"/>
      <c r="AT78" s="30"/>
    </row>
    <row r="79" ht="15.0" customHeight="1">
      <c r="A79" s="38"/>
      <c r="B79" s="76"/>
      <c r="C79" s="38"/>
      <c r="D79" s="38"/>
      <c r="E79" s="121" t="s">
        <v>116</v>
      </c>
      <c r="F79" s="96" t="s">
        <v>22</v>
      </c>
      <c r="G79" s="97"/>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67"/>
      <c r="AN79" s="30"/>
      <c r="AO79" s="30"/>
      <c r="AP79" s="30"/>
      <c r="AQ79" s="30"/>
      <c r="AR79" s="30"/>
      <c r="AS79" s="30"/>
      <c r="AT79" s="30"/>
    </row>
    <row r="80" ht="15.0" customHeight="1">
      <c r="A80" s="38"/>
      <c r="B80" s="76"/>
      <c r="C80" s="38"/>
      <c r="D80" s="38"/>
      <c r="E80" s="121" t="s">
        <v>117</v>
      </c>
      <c r="F80" s="130">
        <f>dv_dt_recommendations!L29</f>
        <v>0.6773088128</v>
      </c>
      <c r="G80" s="97" t="s">
        <v>118</v>
      </c>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67"/>
      <c r="AN80" s="30"/>
      <c r="AO80" s="30"/>
      <c r="AP80" s="30"/>
      <c r="AQ80" s="30"/>
      <c r="AR80" s="30"/>
      <c r="AS80" s="30"/>
      <c r="AT80" s="30"/>
    </row>
    <row r="81" ht="15.0" customHeight="1">
      <c r="A81" s="38"/>
      <c r="B81" s="76"/>
      <c r="C81" s="38"/>
      <c r="D81" s="38"/>
      <c r="E81" s="121" t="s">
        <v>119</v>
      </c>
      <c r="F81" s="130">
        <v>0.4</v>
      </c>
      <c r="G81" s="97" t="s">
        <v>118</v>
      </c>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67"/>
      <c r="AN81" s="30"/>
      <c r="AO81" s="30"/>
      <c r="AP81" s="30"/>
      <c r="AQ81" s="30"/>
      <c r="AR81" s="30"/>
      <c r="AS81" s="30"/>
      <c r="AT81" s="30"/>
    </row>
    <row r="82" ht="15.0" customHeight="1">
      <c r="A82" s="38"/>
      <c r="B82" s="137" t="s">
        <v>120</v>
      </c>
      <c r="C82" s="49"/>
      <c r="D82" s="38"/>
      <c r="E82" s="138" t="s">
        <v>121</v>
      </c>
      <c r="F82" s="96">
        <v>0.56</v>
      </c>
      <c r="G82" s="97" t="s">
        <v>118</v>
      </c>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67"/>
      <c r="AN82" s="30"/>
      <c r="AO82" s="30"/>
      <c r="AP82" s="30"/>
      <c r="AQ82" s="30"/>
      <c r="AR82" s="30"/>
      <c r="AS82" s="30"/>
      <c r="AT82" s="30"/>
    </row>
    <row r="83" ht="15.0" customHeight="1">
      <c r="A83" s="38"/>
      <c r="B83" s="22"/>
      <c r="C83" s="139"/>
      <c r="D83" s="38"/>
      <c r="E83" s="138" t="s">
        <v>122</v>
      </c>
      <c r="F83" s="130">
        <f>Equations!F63</f>
        <v>39.28571429</v>
      </c>
      <c r="G83" s="140" t="s">
        <v>112</v>
      </c>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67"/>
      <c r="AN83" s="30"/>
      <c r="AO83" s="30"/>
      <c r="AP83" s="30"/>
      <c r="AQ83" s="30"/>
      <c r="AR83" s="30"/>
      <c r="AS83" s="30"/>
      <c r="AT83" s="30"/>
    </row>
    <row r="84" ht="15.0" customHeight="1">
      <c r="A84" s="38"/>
      <c r="B84" s="22"/>
      <c r="C84" s="139"/>
      <c r="D84" s="38"/>
      <c r="E84" s="138" t="s">
        <v>123</v>
      </c>
      <c r="F84" s="96">
        <v>39.0</v>
      </c>
      <c r="G84" s="97" t="s">
        <v>112</v>
      </c>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67"/>
      <c r="AN84" s="30"/>
      <c r="AO84" s="30"/>
      <c r="AP84" s="30"/>
      <c r="AQ84" s="30"/>
      <c r="AR84" s="30"/>
      <c r="AS84" s="30"/>
      <c r="AT84" s="30"/>
    </row>
    <row r="85" ht="15.0" customHeight="1">
      <c r="A85" s="38"/>
      <c r="B85" s="22"/>
      <c r="C85" s="139"/>
      <c r="D85" s="38"/>
      <c r="E85" s="138" t="s">
        <v>124</v>
      </c>
      <c r="F85" s="130">
        <f>Equations!F65</f>
        <v>0.5641025641</v>
      </c>
      <c r="G85" s="97" t="s">
        <v>118</v>
      </c>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67"/>
      <c r="AN85" s="30"/>
      <c r="AO85" s="30"/>
      <c r="AP85" s="30"/>
      <c r="AQ85" s="30"/>
      <c r="AR85" s="30"/>
      <c r="AS85" s="30"/>
      <c r="AT85" s="30"/>
    </row>
    <row r="86" ht="16.5" customHeight="1">
      <c r="A86" s="38"/>
      <c r="B86" s="141"/>
      <c r="C86" s="52"/>
      <c r="D86" s="38"/>
      <c r="E86" s="138" t="s">
        <v>125</v>
      </c>
      <c r="F86" s="130">
        <f>Equations!F72</f>
        <v>1.560563205</v>
      </c>
      <c r="G86" s="97"/>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67"/>
      <c r="AN86" s="30"/>
      <c r="AO86" s="30"/>
      <c r="AP86" s="30"/>
      <c r="AQ86" s="30"/>
      <c r="AR86" s="30"/>
      <c r="AS86" s="30"/>
      <c r="AT86" s="30"/>
    </row>
    <row r="87" ht="16.5" customHeight="1">
      <c r="A87" s="38"/>
      <c r="B87" s="76"/>
      <c r="C87" s="38"/>
      <c r="D87" s="38"/>
      <c r="E87" s="138" t="s">
        <v>126</v>
      </c>
      <c r="F87" s="96">
        <v>0.4</v>
      </c>
      <c r="G87" s="97" t="s">
        <v>108</v>
      </c>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67"/>
      <c r="AN87" s="30"/>
      <c r="AO87" s="30"/>
      <c r="AP87" s="30"/>
      <c r="AQ87" s="30"/>
      <c r="AR87" s="30"/>
      <c r="AS87" s="30"/>
      <c r="AT87" s="30"/>
    </row>
    <row r="88" ht="16.5" customHeight="1">
      <c r="A88" s="38"/>
      <c r="B88" s="76"/>
      <c r="C88" s="38"/>
      <c r="D88" s="38"/>
      <c r="E88" s="138" t="s">
        <v>127</v>
      </c>
      <c r="F88" s="130">
        <f>Equations!F77</f>
        <v>2.5</v>
      </c>
      <c r="G88" s="97" t="s">
        <v>112</v>
      </c>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67"/>
      <c r="AN88" s="30"/>
      <c r="AO88" s="30"/>
      <c r="AP88" s="30"/>
      <c r="AQ88" s="30"/>
      <c r="AR88" s="30"/>
      <c r="AS88" s="30"/>
      <c r="AT88" s="30"/>
    </row>
    <row r="89" ht="16.5" customHeight="1">
      <c r="A89" s="38"/>
      <c r="B89" s="76"/>
      <c r="C89" s="38"/>
      <c r="D89" s="38"/>
      <c r="E89" s="138" t="s">
        <v>128</v>
      </c>
      <c r="F89" s="96">
        <v>10.0</v>
      </c>
      <c r="G89" s="97" t="s">
        <v>112</v>
      </c>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67"/>
      <c r="AN89" s="30"/>
      <c r="AO89" s="30"/>
      <c r="AP89" s="30"/>
      <c r="AQ89" s="30"/>
      <c r="AR89" s="30"/>
      <c r="AS89" s="30"/>
      <c r="AT89" s="30"/>
    </row>
    <row r="90" ht="15.0" customHeight="1">
      <c r="A90" s="38"/>
      <c r="B90" s="76"/>
      <c r="C90" s="38"/>
      <c r="D90" s="38"/>
      <c r="E90" s="121" t="s">
        <v>129</v>
      </c>
      <c r="F90" s="130">
        <f>Equations!F79</f>
        <v>1.6</v>
      </c>
      <c r="G90" s="97" t="s">
        <v>108</v>
      </c>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67" t="s">
        <v>130</v>
      </c>
      <c r="AN90" s="30"/>
      <c r="AO90" s="30"/>
      <c r="AP90" s="30"/>
      <c r="AQ90" s="30"/>
      <c r="AR90" s="30"/>
      <c r="AS90" s="30"/>
      <c r="AT90" s="30"/>
    </row>
    <row r="91" ht="31.5" customHeight="1">
      <c r="A91" s="38"/>
      <c r="B91" s="87"/>
      <c r="C91" s="88"/>
      <c r="D91" s="88"/>
      <c r="E91" s="142" t="s">
        <v>131</v>
      </c>
      <c r="F91" s="143">
        <f>Equations!F81</f>
        <v>1.307888534</v>
      </c>
      <c r="G91" s="104"/>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91"/>
      <c r="AN91" s="30"/>
      <c r="AO91" s="30"/>
      <c r="AP91" s="30"/>
      <c r="AQ91" s="30"/>
      <c r="AR91" s="30"/>
      <c r="AS91" s="30"/>
      <c r="AT91" s="30"/>
    </row>
    <row r="92" ht="15.0" customHeight="1">
      <c r="A92" s="38"/>
      <c r="B92" s="144" t="s">
        <v>132</v>
      </c>
      <c r="C92" s="145"/>
      <c r="D92" s="38"/>
      <c r="E92" s="138" t="s">
        <v>133</v>
      </c>
      <c r="F92" s="146">
        <v>38.0</v>
      </c>
      <c r="G92" s="147" t="s">
        <v>39</v>
      </c>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67"/>
      <c r="AN92" s="30" t="s">
        <v>134</v>
      </c>
      <c r="AO92" s="30"/>
      <c r="AP92" s="30"/>
      <c r="AQ92" s="30"/>
      <c r="AR92" s="30"/>
      <c r="AS92" s="30"/>
      <c r="AT92" s="30"/>
    </row>
    <row r="93" ht="15.0" customHeight="1">
      <c r="A93" s="38"/>
      <c r="B93" s="76"/>
      <c r="C93" s="38"/>
      <c r="D93" s="38"/>
      <c r="E93" s="138" t="s">
        <v>135</v>
      </c>
      <c r="F93" s="148">
        <v>10.0</v>
      </c>
      <c r="G93" s="147" t="s">
        <v>136</v>
      </c>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67"/>
      <c r="AN93" s="30"/>
      <c r="AO93" s="30"/>
      <c r="AP93" s="30"/>
      <c r="AQ93" s="30"/>
      <c r="AR93" s="30"/>
      <c r="AS93" s="30"/>
      <c r="AT93" s="30"/>
    </row>
    <row r="94" ht="15.0" customHeight="1">
      <c r="A94" s="38"/>
      <c r="B94" s="76"/>
      <c r="C94" s="38"/>
      <c r="D94" s="38"/>
      <c r="E94" s="138" t="s">
        <v>137</v>
      </c>
      <c r="F94" s="96">
        <v>30.0</v>
      </c>
      <c r="G94" s="147" t="s">
        <v>138</v>
      </c>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67"/>
      <c r="AN94" s="30"/>
      <c r="AO94" s="30"/>
      <c r="AP94" s="30"/>
      <c r="AQ94" s="30"/>
      <c r="AR94" s="30"/>
      <c r="AS94" s="30"/>
      <c r="AT94" s="30"/>
    </row>
    <row r="95" ht="15.0" customHeight="1">
      <c r="A95" s="38"/>
      <c r="B95" s="76"/>
      <c r="C95" s="38"/>
      <c r="D95" s="38"/>
      <c r="E95" s="138" t="s">
        <v>139</v>
      </c>
      <c r="F95" s="148">
        <f>Equations!F89</f>
        <v>814.4444444</v>
      </c>
      <c r="G95" s="147" t="s">
        <v>140</v>
      </c>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67"/>
      <c r="AN95" s="30"/>
      <c r="AO95" s="30"/>
      <c r="AP95" s="30"/>
      <c r="AQ95" s="30"/>
      <c r="AR95" s="30"/>
      <c r="AS95" s="30"/>
      <c r="AT95" s="30"/>
    </row>
    <row r="96" ht="15.0" customHeight="1">
      <c r="A96" s="38"/>
      <c r="B96" s="76"/>
      <c r="C96" s="38"/>
      <c r="D96" s="38"/>
      <c r="E96" s="138" t="s">
        <v>141</v>
      </c>
      <c r="F96" s="96">
        <v>806.0</v>
      </c>
      <c r="G96" s="147" t="s">
        <v>142</v>
      </c>
      <c r="H96" s="38"/>
      <c r="I96" s="38"/>
      <c r="J96" s="149"/>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67"/>
      <c r="AN96" s="30"/>
      <c r="AO96" s="30"/>
      <c r="AP96" s="30"/>
      <c r="AQ96" s="30"/>
      <c r="AR96" s="30"/>
      <c r="AS96" s="30"/>
      <c r="AT96" s="30"/>
    </row>
    <row r="97" ht="15.0" customHeight="1">
      <c r="A97" s="38"/>
      <c r="B97" s="76"/>
      <c r="C97" s="38"/>
      <c r="D97" s="38"/>
      <c r="E97" s="38"/>
      <c r="F97" s="38"/>
      <c r="G97" s="150"/>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67"/>
      <c r="AN97" s="30"/>
      <c r="AO97" s="30"/>
      <c r="AP97" s="30"/>
      <c r="AQ97" s="30"/>
      <c r="AR97" s="30"/>
      <c r="AS97" s="30"/>
      <c r="AT97" s="30"/>
    </row>
    <row r="98" ht="15.0" customHeight="1">
      <c r="A98" s="38"/>
      <c r="B98" s="76"/>
      <c r="C98" s="151" t="s">
        <v>143</v>
      </c>
      <c r="D98" s="152" t="s">
        <v>144</v>
      </c>
      <c r="E98" s="152" t="s">
        <v>145</v>
      </c>
      <c r="F98" s="152" t="s">
        <v>146</v>
      </c>
      <c r="G98" s="150"/>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67"/>
      <c r="AN98" s="30"/>
      <c r="AO98" s="30"/>
      <c r="AP98" s="30"/>
      <c r="AQ98" s="30"/>
      <c r="AR98" s="30"/>
      <c r="AS98" s="30"/>
      <c r="AT98" s="30"/>
    </row>
    <row r="99" ht="15.0" customHeight="1">
      <c r="A99" s="38"/>
      <c r="B99" s="100" t="s">
        <v>132</v>
      </c>
      <c r="C99" s="121" t="s">
        <v>147</v>
      </c>
      <c r="D99" s="153">
        <f>Equations!E94</f>
        <v>36.784</v>
      </c>
      <c r="E99" s="153">
        <f>Equations!F94</f>
        <v>37.62</v>
      </c>
      <c r="F99" s="153">
        <f>Equations!G94</f>
        <v>38.456</v>
      </c>
      <c r="G99" s="147" t="s">
        <v>39</v>
      </c>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67"/>
      <c r="AN99" s="30"/>
      <c r="AO99" s="30"/>
      <c r="AP99" s="30"/>
      <c r="AQ99" s="30"/>
      <c r="AR99" s="30"/>
      <c r="AS99" s="30"/>
      <c r="AT99" s="30"/>
    </row>
    <row r="100" ht="15.0" customHeight="1">
      <c r="A100" s="38"/>
      <c r="B100" s="72"/>
      <c r="C100" s="121" t="s">
        <v>148</v>
      </c>
      <c r="D100" s="153">
        <f>Equations!E95</f>
        <v>33.99733333</v>
      </c>
      <c r="E100" s="153">
        <f>Equations!F95</f>
        <v>34.83333333</v>
      </c>
      <c r="F100" s="153">
        <f>Equations!G95</f>
        <v>35.66933333</v>
      </c>
      <c r="G100" s="147" t="s">
        <v>39</v>
      </c>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67"/>
      <c r="AN100" s="30"/>
      <c r="AO100" s="30"/>
      <c r="AP100" s="30"/>
      <c r="AQ100" s="30"/>
      <c r="AR100" s="30"/>
      <c r="AS100" s="30"/>
      <c r="AT100" s="30"/>
    </row>
    <row r="101" ht="15.0" customHeight="1">
      <c r="A101" s="38"/>
      <c r="B101" s="76"/>
      <c r="C101" s="121"/>
      <c r="D101" s="154"/>
      <c r="E101" s="154"/>
      <c r="F101" s="154"/>
      <c r="G101" s="86"/>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67"/>
      <c r="AN101" s="30"/>
      <c r="AO101" s="30"/>
      <c r="AP101" s="30"/>
      <c r="AQ101" s="30"/>
      <c r="AR101" s="30"/>
      <c r="AS101" s="30"/>
      <c r="AT101" s="30"/>
    </row>
    <row r="102" ht="15.0" customHeight="1">
      <c r="A102" s="38"/>
      <c r="B102" s="76"/>
      <c r="C102" s="121"/>
      <c r="D102" s="154"/>
      <c r="E102" s="154"/>
      <c r="F102" s="154"/>
      <c r="G102" s="86"/>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67"/>
      <c r="AN102" s="30"/>
      <c r="AO102" s="30"/>
      <c r="AP102" s="30"/>
      <c r="AQ102" s="30"/>
      <c r="AR102" s="30"/>
      <c r="AS102" s="30"/>
      <c r="AT102" s="30"/>
    </row>
    <row r="103" ht="15.0" customHeight="1">
      <c r="A103" s="38"/>
      <c r="B103" s="76"/>
      <c r="C103" s="38"/>
      <c r="D103" s="38"/>
      <c r="E103" s="38"/>
      <c r="F103" s="38"/>
      <c r="G103" s="38"/>
      <c r="H103" s="155"/>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67"/>
      <c r="AN103" s="30"/>
      <c r="AO103" s="30"/>
      <c r="AP103" s="30"/>
      <c r="AQ103" s="30"/>
      <c r="AR103" s="30"/>
      <c r="AS103" s="30"/>
      <c r="AT103" s="30"/>
    </row>
    <row r="104" ht="18.75" customHeight="1">
      <c r="A104" s="38"/>
      <c r="B104" s="55" t="s">
        <v>149</v>
      </c>
      <c r="C104" s="60"/>
      <c r="D104" s="60"/>
      <c r="E104" s="156" t="s">
        <v>150</v>
      </c>
      <c r="F104" s="157">
        <f>Rs</f>
        <v>1</v>
      </c>
      <c r="G104" s="158" t="s">
        <v>151</v>
      </c>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1"/>
      <c r="AN104" s="30"/>
      <c r="AO104" s="30"/>
      <c r="AP104" s="30"/>
      <c r="AQ104" s="30"/>
      <c r="AR104" s="30"/>
      <c r="AS104" s="30"/>
      <c r="AT104" s="30"/>
    </row>
    <row r="105" ht="15.0" customHeight="1">
      <c r="A105" s="38"/>
      <c r="B105" s="95"/>
      <c r="C105" s="38"/>
      <c r="D105" s="38"/>
      <c r="E105" s="159" t="s">
        <v>152</v>
      </c>
      <c r="F105" s="160" t="str">
        <f>IF(F39="No","DNP",RDIV1)</f>
        <v>DNP</v>
      </c>
      <c r="G105" s="161" t="s">
        <v>57</v>
      </c>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67"/>
      <c r="AN105" s="30"/>
      <c r="AO105" s="30"/>
      <c r="AP105" s="30"/>
      <c r="AQ105" s="30"/>
      <c r="AR105" s="30"/>
      <c r="AS105" s="30"/>
      <c r="AT105" s="30"/>
    </row>
    <row r="106" ht="14.25" customHeight="1">
      <c r="A106" s="38"/>
      <c r="B106" s="95"/>
      <c r="C106" s="38"/>
      <c r="D106" s="38"/>
      <c r="E106" s="159" t="s">
        <v>153</v>
      </c>
      <c r="F106" s="160" t="str">
        <f>IF(F39="No","short",RDIV2)</f>
        <v>short</v>
      </c>
      <c r="G106" s="161" t="s">
        <v>57</v>
      </c>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67"/>
      <c r="AN106" s="30"/>
      <c r="AO106" s="30"/>
      <c r="AP106" s="30"/>
      <c r="AQ106" s="30"/>
      <c r="AR106" s="30"/>
      <c r="AS106" s="30"/>
      <c r="AT106" s="30"/>
    </row>
    <row r="107" ht="15.0" customHeight="1">
      <c r="A107" s="38"/>
      <c r="B107" s="76"/>
      <c r="C107" s="38"/>
      <c r="D107" s="38"/>
      <c r="E107" s="77" t="s">
        <v>154</v>
      </c>
      <c r="F107" s="162">
        <f>F96</f>
        <v>806</v>
      </c>
      <c r="G107" s="86" t="s">
        <v>155</v>
      </c>
      <c r="H107" s="38"/>
      <c r="I107" s="163"/>
      <c r="J107" s="164"/>
      <c r="K107" s="165" t="s">
        <v>145</v>
      </c>
      <c r="L107" s="166" t="s">
        <v>156</v>
      </c>
      <c r="M107" s="152"/>
      <c r="N107" s="167"/>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67"/>
      <c r="AN107" s="30"/>
      <c r="AO107" s="30"/>
      <c r="AP107" s="30"/>
      <c r="AQ107" s="30"/>
      <c r="AR107" s="30"/>
      <c r="AS107" s="30"/>
      <c r="AT107" s="30"/>
    </row>
    <row r="108" ht="15.0" customHeight="1">
      <c r="A108" s="38"/>
      <c r="B108" s="76"/>
      <c r="C108" s="38"/>
      <c r="D108" s="38"/>
      <c r="E108" s="77" t="s">
        <v>157</v>
      </c>
      <c r="F108" s="162">
        <f>F94</f>
        <v>30</v>
      </c>
      <c r="G108" s="86" t="s">
        <v>158</v>
      </c>
      <c r="H108" s="38"/>
      <c r="I108" s="168"/>
      <c r="J108" s="169" t="s">
        <v>159</v>
      </c>
      <c r="K108" s="170">
        <f>F47</f>
        <v>50</v>
      </c>
      <c r="L108" s="171" t="s">
        <v>43</v>
      </c>
      <c r="M108" s="172"/>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67"/>
      <c r="AN108" s="30"/>
      <c r="AO108" s="30"/>
      <c r="AP108" s="30"/>
      <c r="AQ108" s="30"/>
      <c r="AR108" s="30"/>
      <c r="AS108" s="30"/>
      <c r="AT108" s="30"/>
    </row>
    <row r="109" ht="15.0" customHeight="1">
      <c r="A109" s="38"/>
      <c r="B109" s="76"/>
      <c r="C109" s="38"/>
      <c r="D109" s="38"/>
      <c r="E109" s="77" t="s">
        <v>160</v>
      </c>
      <c r="F109" s="113">
        <f>F64</f>
        <v>53.6</v>
      </c>
      <c r="G109" s="86" t="s">
        <v>161</v>
      </c>
      <c r="H109" s="38"/>
      <c r="I109" s="168"/>
      <c r="J109" s="169" t="s">
        <v>162</v>
      </c>
      <c r="K109" s="173">
        <f>F67</f>
        <v>314.4654088</v>
      </c>
      <c r="L109" s="171" t="s">
        <v>57</v>
      </c>
      <c r="M109" s="174"/>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67"/>
      <c r="AN109" s="30"/>
      <c r="AO109" s="30"/>
      <c r="AP109" s="30"/>
      <c r="AQ109" s="30"/>
      <c r="AR109" s="30"/>
      <c r="AS109" s="30"/>
      <c r="AT109" s="30"/>
    </row>
    <row r="110" ht="15.0" customHeight="1">
      <c r="A110" s="38"/>
      <c r="B110" s="76"/>
      <c r="C110" s="38"/>
      <c r="D110" s="38"/>
      <c r="E110" s="77" t="s">
        <v>163</v>
      </c>
      <c r="F110" s="101">
        <f>RPWR</f>
        <v>10</v>
      </c>
      <c r="G110" s="86" t="s">
        <v>164</v>
      </c>
      <c r="H110" s="38"/>
      <c r="I110" s="168"/>
      <c r="J110" s="169" t="s">
        <v>165</v>
      </c>
      <c r="K110" s="175">
        <f>IF(F71="YES", F90,F77)</f>
        <v>1.6</v>
      </c>
      <c r="L110" s="171" t="s">
        <v>108</v>
      </c>
      <c r="M110" s="172"/>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67"/>
      <c r="AN110" s="30"/>
      <c r="AO110" s="30"/>
      <c r="AP110" s="30"/>
      <c r="AQ110" s="30"/>
      <c r="AR110" s="30"/>
      <c r="AS110" s="30"/>
      <c r="AT110" s="30"/>
    </row>
    <row r="111" ht="15.0" customHeight="1">
      <c r="A111" s="38"/>
      <c r="B111" s="76"/>
      <c r="C111" s="38"/>
      <c r="D111" s="38"/>
      <c r="E111" s="77" t="s">
        <v>166</v>
      </c>
      <c r="F111" s="130">
        <f>IF(F71="YES", F89, F76)</f>
        <v>10</v>
      </c>
      <c r="G111" s="86" t="s">
        <v>112</v>
      </c>
      <c r="H111" s="38"/>
      <c r="I111" s="168"/>
      <c r="J111" s="176" t="s">
        <v>167</v>
      </c>
      <c r="K111" s="170">
        <f t="shared" ref="K111:K112" si="2">E99</f>
        <v>37.62</v>
      </c>
      <c r="L111" s="171" t="s">
        <v>39</v>
      </c>
      <c r="M111" s="177"/>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67"/>
      <c r="AN111" s="30"/>
      <c r="AO111" s="30"/>
      <c r="AP111" s="30"/>
      <c r="AQ111" s="30"/>
      <c r="AR111" s="30"/>
      <c r="AS111" s="30"/>
      <c r="AT111" s="30"/>
    </row>
    <row r="112" ht="15.0" customHeight="1">
      <c r="A112" s="38"/>
      <c r="B112" s="76"/>
      <c r="C112" s="38"/>
      <c r="D112" s="38"/>
      <c r="E112" s="77" t="s">
        <v>168</v>
      </c>
      <c r="F112" s="178">
        <v>0.1</v>
      </c>
      <c r="G112" s="86" t="s">
        <v>45</v>
      </c>
      <c r="H112" s="38"/>
      <c r="I112" s="168"/>
      <c r="J112" s="176" t="s">
        <v>169</v>
      </c>
      <c r="K112" s="170">
        <f t="shared" si="2"/>
        <v>34.83333333</v>
      </c>
      <c r="L112" s="171" t="s">
        <v>39</v>
      </c>
      <c r="M112" s="172"/>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67"/>
      <c r="AN112" s="30"/>
      <c r="AO112" s="30"/>
      <c r="AP112" s="30"/>
      <c r="AQ112" s="30"/>
      <c r="AR112" s="30"/>
      <c r="AS112" s="30"/>
      <c r="AT112" s="30"/>
    </row>
    <row r="113" ht="15.0" customHeight="1">
      <c r="A113" s="38"/>
      <c r="B113" s="76"/>
      <c r="C113" s="38"/>
      <c r="D113" s="38"/>
      <c r="E113" s="77" t="s">
        <v>170</v>
      </c>
      <c r="F113" s="179" t="str">
        <f>F50</f>
        <v>SUP60020E</v>
      </c>
      <c r="G113" s="86"/>
      <c r="H113" s="38"/>
      <c r="I113" s="30"/>
      <c r="J113" s="30"/>
      <c r="K113" s="30"/>
      <c r="L113" s="30"/>
      <c r="M113" s="180"/>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67"/>
      <c r="AN113" s="30"/>
      <c r="AO113" s="30"/>
      <c r="AP113" s="30"/>
      <c r="AQ113" s="30"/>
      <c r="AR113" s="30"/>
      <c r="AS113" s="30"/>
      <c r="AT113" s="30"/>
    </row>
    <row r="114" ht="15.0" customHeight="1">
      <c r="A114" s="38"/>
      <c r="B114" s="76"/>
      <c r="C114" s="38"/>
      <c r="D114" s="38"/>
      <c r="E114" s="159" t="s">
        <v>171</v>
      </c>
      <c r="F114" s="162">
        <f>IF(F71="YES", 0.022, "DNP" )</f>
        <v>0.022</v>
      </c>
      <c r="G114" s="86" t="s">
        <v>172</v>
      </c>
      <c r="H114" s="38"/>
      <c r="I114" s="38"/>
      <c r="J114" s="38"/>
      <c r="K114" s="38"/>
      <c r="L114" s="38"/>
      <c r="M114" s="180"/>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67"/>
      <c r="AN114" s="30"/>
      <c r="AO114" s="30"/>
      <c r="AP114" s="30"/>
      <c r="AQ114" s="30"/>
      <c r="AR114" s="30"/>
      <c r="AS114" s="30"/>
      <c r="AT114" s="30"/>
    </row>
    <row r="115" ht="15.0" customHeight="1">
      <c r="A115" s="38"/>
      <c r="B115" s="76"/>
      <c r="C115" s="38"/>
      <c r="D115" s="38"/>
      <c r="E115" s="159" t="s">
        <v>173</v>
      </c>
      <c r="F115" s="181">
        <f>IF(F71="YES", F84, "DNP" )</f>
        <v>39</v>
      </c>
      <c r="G115" s="86" t="s">
        <v>112</v>
      </c>
      <c r="H115" s="38"/>
      <c r="I115" s="38"/>
      <c r="J115" s="38"/>
      <c r="K115" s="38"/>
      <c r="L115" s="38"/>
      <c r="M115" s="180"/>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67"/>
      <c r="AN115" s="30"/>
      <c r="AO115" s="30"/>
      <c r="AP115" s="30"/>
      <c r="AQ115" s="30"/>
      <c r="AR115" s="30"/>
      <c r="AS115" s="30"/>
      <c r="AT115" s="30"/>
    </row>
    <row r="116" ht="15.0" customHeight="1">
      <c r="A116" s="38"/>
      <c r="B116" s="76"/>
      <c r="C116" s="38"/>
      <c r="D116" s="38"/>
      <c r="E116" s="30"/>
      <c r="F116" s="30"/>
      <c r="G116" s="44"/>
      <c r="H116" s="38"/>
      <c r="I116" s="38"/>
      <c r="J116" s="38"/>
      <c r="K116" s="38"/>
      <c r="L116" s="38"/>
      <c r="M116" s="180"/>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67"/>
      <c r="AN116" s="30"/>
      <c r="AO116" s="30"/>
      <c r="AP116" s="30"/>
      <c r="AQ116" s="30"/>
      <c r="AR116" s="30"/>
      <c r="AS116" s="30"/>
      <c r="AT116" s="30"/>
    </row>
    <row r="117" ht="15.0" customHeight="1">
      <c r="A117" s="38"/>
      <c r="B117" s="76"/>
      <c r="C117" s="38"/>
      <c r="D117" s="38"/>
      <c r="E117" s="77"/>
      <c r="F117" s="182"/>
      <c r="G117" s="86"/>
      <c r="H117" s="38"/>
      <c r="I117" s="38"/>
      <c r="J117" s="38"/>
      <c r="K117" s="38"/>
      <c r="L117" s="38"/>
      <c r="M117" s="180"/>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67"/>
      <c r="AN117" s="30"/>
      <c r="AO117" s="30"/>
      <c r="AP117" s="30"/>
      <c r="AQ117" s="30"/>
      <c r="AR117" s="30"/>
      <c r="AS117" s="30"/>
      <c r="AT117" s="30"/>
    </row>
    <row r="118" ht="15.0" customHeight="1">
      <c r="A118" s="38"/>
      <c r="B118" s="76"/>
      <c r="C118" s="38"/>
      <c r="D118" s="38"/>
      <c r="E118" s="77"/>
      <c r="F118" s="182"/>
      <c r="G118" s="86"/>
      <c r="H118" s="38"/>
      <c r="I118" s="38"/>
      <c r="J118" s="38"/>
      <c r="K118" s="38"/>
      <c r="L118" s="38"/>
      <c r="M118" s="180"/>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67"/>
      <c r="AN118" s="30"/>
      <c r="AO118" s="30"/>
      <c r="AP118" s="30"/>
      <c r="AQ118" s="30"/>
      <c r="AR118" s="30"/>
      <c r="AS118" s="30"/>
      <c r="AT118" s="30"/>
    </row>
    <row r="119" ht="15.0" customHeight="1">
      <c r="A119" s="38"/>
      <c r="B119" s="76"/>
      <c r="C119" s="38"/>
      <c r="D119" s="38"/>
      <c r="E119" s="77"/>
      <c r="F119" s="182"/>
      <c r="G119" s="86"/>
      <c r="H119" s="38"/>
      <c r="I119" s="38"/>
      <c r="J119" s="38"/>
      <c r="K119" s="38"/>
      <c r="L119" s="38"/>
      <c r="M119" s="40"/>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67"/>
      <c r="AN119" s="30"/>
      <c r="AO119" s="30"/>
      <c r="AP119" s="30"/>
      <c r="AQ119" s="30"/>
      <c r="AR119" s="30"/>
      <c r="AS119" s="30"/>
      <c r="AT119" s="30"/>
    </row>
    <row r="120" ht="15.0" customHeight="1">
      <c r="A120" s="38"/>
      <c r="B120" s="76"/>
      <c r="C120" s="38"/>
      <c r="D120" s="38"/>
      <c r="E120" s="77"/>
      <c r="F120" s="182"/>
      <c r="G120" s="86"/>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67"/>
      <c r="AN120" s="30"/>
      <c r="AO120" s="30"/>
      <c r="AP120" s="30"/>
      <c r="AQ120" s="30"/>
      <c r="AR120" s="30"/>
      <c r="AS120" s="30"/>
      <c r="AT120" s="30"/>
    </row>
    <row r="121" ht="12.75" customHeight="1">
      <c r="A121" s="38"/>
      <c r="B121" s="183" t="s">
        <v>174</v>
      </c>
      <c r="C121" s="184" t="s">
        <v>175</v>
      </c>
      <c r="D121" s="121"/>
      <c r="E121" s="184"/>
      <c r="F121" s="185"/>
      <c r="G121" s="86"/>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67"/>
      <c r="AN121" s="30"/>
      <c r="AO121" s="30"/>
      <c r="AP121" s="30"/>
      <c r="AQ121" s="30"/>
      <c r="AR121" s="30"/>
      <c r="AS121" s="30"/>
      <c r="AT121" s="30"/>
    </row>
    <row r="122" ht="12.75" customHeight="1">
      <c r="A122" s="38"/>
      <c r="B122" s="76"/>
      <c r="C122" s="184" t="s">
        <v>176</v>
      </c>
      <c r="D122" s="38"/>
      <c r="E122" s="184"/>
      <c r="F122" s="38"/>
      <c r="G122" s="86"/>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67"/>
      <c r="AN122" s="30"/>
      <c r="AO122" s="30"/>
      <c r="AP122" s="30"/>
      <c r="AQ122" s="30"/>
      <c r="AR122" s="30"/>
      <c r="AS122" s="30"/>
      <c r="AT122" s="30"/>
    </row>
    <row r="123" ht="12.75" customHeight="1">
      <c r="A123" s="38"/>
      <c r="B123" s="76"/>
      <c r="C123" s="184" t="s">
        <v>177</v>
      </c>
      <c r="D123" s="38"/>
      <c r="E123" s="184"/>
      <c r="F123" s="38"/>
      <c r="G123" s="86"/>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67"/>
      <c r="AN123" s="30"/>
      <c r="AO123" s="30"/>
      <c r="AP123" s="30"/>
      <c r="AQ123" s="30"/>
      <c r="AR123" s="30"/>
      <c r="AS123" s="30"/>
      <c r="AT123" s="30"/>
    </row>
    <row r="124" ht="12.75" customHeight="1">
      <c r="A124" s="38"/>
      <c r="B124" s="87"/>
      <c r="C124" s="88"/>
      <c r="D124" s="88"/>
      <c r="E124" s="186"/>
      <c r="F124" s="88"/>
      <c r="G124" s="187"/>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91"/>
      <c r="AN124" s="30"/>
      <c r="AO124" s="30"/>
      <c r="AP124" s="30"/>
      <c r="AQ124" s="30"/>
      <c r="AR124" s="30"/>
      <c r="AS124" s="30"/>
      <c r="AT124" s="30"/>
    </row>
    <row r="125" ht="12.75" customHeight="1">
      <c r="A125" s="38"/>
      <c r="B125" s="38"/>
      <c r="C125" s="38"/>
      <c r="D125" s="38"/>
      <c r="E125" s="38"/>
      <c r="F125" s="38"/>
      <c r="G125" s="40"/>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0"/>
      <c r="AO125" s="30"/>
      <c r="AP125" s="30"/>
      <c r="AQ125" s="30"/>
      <c r="AR125" s="30"/>
      <c r="AS125" s="30"/>
      <c r="AT125" s="30"/>
    </row>
    <row r="126" ht="12.75" customHeight="1">
      <c r="A126" s="38"/>
      <c r="B126" s="188"/>
      <c r="C126" s="38"/>
      <c r="D126" s="38"/>
      <c r="E126" s="38"/>
      <c r="F126" s="38"/>
      <c r="G126" s="40"/>
      <c r="H126" s="38"/>
      <c r="I126" s="30"/>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0"/>
      <c r="AO126" s="30"/>
      <c r="AP126" s="30"/>
      <c r="AQ126" s="30"/>
      <c r="AR126" s="30"/>
      <c r="AS126" s="30"/>
      <c r="AT126" s="30"/>
    </row>
    <row r="127" ht="12.75" customHeight="1">
      <c r="A127" s="38"/>
      <c r="B127" s="38"/>
      <c r="C127" s="38"/>
      <c r="D127" s="38"/>
      <c r="E127" s="38"/>
      <c r="F127" s="38"/>
      <c r="G127" s="40"/>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0"/>
      <c r="AO127" s="30"/>
      <c r="AP127" s="30"/>
      <c r="AQ127" s="30"/>
      <c r="AR127" s="30"/>
      <c r="AS127" s="30"/>
      <c r="AT127" s="30"/>
    </row>
    <row r="128" ht="12.75" customHeight="1">
      <c r="A128" s="38"/>
      <c r="B128" s="38"/>
      <c r="C128" s="38"/>
      <c r="D128" s="38"/>
      <c r="E128" s="38"/>
      <c r="F128" s="38"/>
      <c r="G128" s="44"/>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0"/>
      <c r="AO128" s="30"/>
      <c r="AP128" s="30"/>
      <c r="AQ128" s="30"/>
      <c r="AR128" s="30"/>
      <c r="AS128" s="30"/>
      <c r="AT128" s="30"/>
    </row>
    <row r="129" ht="12.75" customHeight="1">
      <c r="A129" s="38"/>
      <c r="B129" s="38"/>
      <c r="C129" s="38"/>
      <c r="D129" s="38"/>
      <c r="E129" s="38"/>
      <c r="F129" s="38"/>
      <c r="G129" s="40"/>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0"/>
      <c r="AO129" s="30"/>
      <c r="AP129" s="30"/>
      <c r="AQ129" s="30"/>
      <c r="AR129" s="30"/>
      <c r="AS129" s="30"/>
      <c r="AT129" s="30"/>
    </row>
    <row r="130" ht="12.75" customHeight="1">
      <c r="A130" s="38"/>
      <c r="B130" s="38"/>
      <c r="C130" s="38"/>
      <c r="D130" s="38"/>
      <c r="E130" s="38"/>
      <c r="F130" s="38"/>
      <c r="G130" s="40"/>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0"/>
      <c r="AO130" s="30"/>
      <c r="AP130" s="30"/>
      <c r="AQ130" s="30"/>
      <c r="AR130" s="30"/>
      <c r="AS130" s="30"/>
      <c r="AT130" s="30"/>
    </row>
    <row r="131" ht="12.75" customHeight="1">
      <c r="A131" s="38"/>
      <c r="B131" s="38"/>
      <c r="C131" s="38"/>
      <c r="D131" s="38"/>
      <c r="E131" s="38"/>
      <c r="F131" s="38"/>
      <c r="G131" s="40"/>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0"/>
      <c r="AO131" s="30"/>
      <c r="AP131" s="30"/>
      <c r="AQ131" s="30"/>
      <c r="AR131" s="30"/>
      <c r="AS131" s="30"/>
      <c r="AT131" s="30"/>
    </row>
    <row r="132" ht="12.75" customHeight="1">
      <c r="A132" s="38"/>
      <c r="B132" s="38"/>
      <c r="C132" s="38"/>
      <c r="D132" s="38"/>
      <c r="E132" s="38"/>
      <c r="F132" s="38"/>
      <c r="G132" s="40"/>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0"/>
      <c r="AO132" s="30"/>
      <c r="AP132" s="30"/>
      <c r="AQ132" s="30"/>
      <c r="AR132" s="30"/>
      <c r="AS132" s="30"/>
      <c r="AT132" s="30"/>
    </row>
    <row r="133" ht="12.75" customHeight="1">
      <c r="A133" s="38"/>
      <c r="B133" s="38"/>
      <c r="C133" s="38"/>
      <c r="D133" s="38"/>
      <c r="E133" s="38"/>
      <c r="F133" s="38"/>
      <c r="G133" s="40"/>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0"/>
      <c r="AO133" s="30"/>
      <c r="AP133" s="30"/>
      <c r="AQ133" s="30"/>
      <c r="AR133" s="30"/>
      <c r="AS133" s="30"/>
      <c r="AT133" s="30"/>
    </row>
    <row r="134" ht="12.75" customHeight="1">
      <c r="A134" s="38"/>
      <c r="B134" s="38"/>
      <c r="C134" s="38"/>
      <c r="D134" s="38"/>
      <c r="E134" s="38"/>
      <c r="F134" s="38"/>
      <c r="G134" s="40"/>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0"/>
      <c r="AO134" s="30"/>
      <c r="AP134" s="30"/>
      <c r="AQ134" s="30"/>
      <c r="AR134" s="30"/>
      <c r="AS134" s="30"/>
      <c r="AT134" s="30"/>
    </row>
    <row r="135" ht="12.75" customHeight="1">
      <c r="A135" s="38"/>
      <c r="B135" s="38"/>
      <c r="C135" s="38"/>
      <c r="D135" s="38"/>
      <c r="E135" s="38"/>
      <c r="F135" s="38"/>
      <c r="G135" s="40"/>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0"/>
      <c r="AO135" s="30"/>
      <c r="AP135" s="30"/>
      <c r="AQ135" s="30"/>
      <c r="AR135" s="30"/>
      <c r="AS135" s="30"/>
      <c r="AT135" s="30"/>
    </row>
    <row r="136" ht="12.75" customHeight="1">
      <c r="A136" s="38"/>
      <c r="B136" s="38"/>
      <c r="C136" s="38"/>
      <c r="D136" s="38"/>
      <c r="E136" s="38"/>
      <c r="F136" s="38"/>
      <c r="G136" s="40"/>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0"/>
      <c r="AO136" s="30"/>
      <c r="AP136" s="30"/>
      <c r="AQ136" s="30"/>
      <c r="AR136" s="30"/>
      <c r="AS136" s="30"/>
      <c r="AT136" s="30"/>
    </row>
    <row r="137" ht="12.75" customHeight="1">
      <c r="A137" s="38"/>
      <c r="B137" s="38"/>
      <c r="C137" s="38"/>
      <c r="D137" s="38"/>
      <c r="E137" s="38"/>
      <c r="F137" s="38"/>
      <c r="G137" s="40"/>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0"/>
      <c r="AO137" s="30"/>
      <c r="AP137" s="30"/>
      <c r="AQ137" s="30"/>
      <c r="AR137" s="30"/>
      <c r="AS137" s="30"/>
      <c r="AT137" s="30"/>
    </row>
    <row r="138" ht="12.75" customHeight="1">
      <c r="A138" s="38"/>
      <c r="B138" s="38"/>
      <c r="C138" s="38"/>
      <c r="D138" s="38"/>
      <c r="E138" s="38"/>
      <c r="F138" s="38"/>
      <c r="G138" s="40"/>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0"/>
      <c r="AO138" s="30"/>
      <c r="AP138" s="30"/>
      <c r="AQ138" s="30"/>
      <c r="AR138" s="30"/>
      <c r="AS138" s="30"/>
      <c r="AT138" s="30"/>
    </row>
    <row r="139" ht="12.75" customHeight="1">
      <c r="A139" s="38"/>
      <c r="B139" s="38"/>
      <c r="C139" s="38"/>
      <c r="D139" s="38"/>
      <c r="E139" s="38"/>
      <c r="F139" s="38"/>
      <c r="G139" s="40"/>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0"/>
      <c r="AO139" s="30"/>
      <c r="AP139" s="30"/>
      <c r="AQ139" s="30"/>
      <c r="AR139" s="30"/>
      <c r="AS139" s="30"/>
      <c r="AT139" s="30"/>
    </row>
    <row r="140" ht="12.75" customHeight="1">
      <c r="A140" s="38"/>
      <c r="B140" s="38"/>
      <c r="C140" s="38"/>
      <c r="D140" s="38"/>
      <c r="E140" s="38"/>
      <c r="F140" s="38"/>
      <c r="G140" s="40"/>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0"/>
      <c r="AO140" s="30"/>
      <c r="AP140" s="30"/>
      <c r="AQ140" s="30"/>
      <c r="AR140" s="30"/>
      <c r="AS140" s="30"/>
      <c r="AT140" s="30"/>
    </row>
    <row r="141" ht="12.75" customHeight="1">
      <c r="A141" s="38"/>
      <c r="B141" s="38"/>
      <c r="C141" s="38"/>
      <c r="D141" s="38"/>
      <c r="E141" s="38"/>
      <c r="F141" s="38"/>
      <c r="G141" s="40"/>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0"/>
      <c r="AO141" s="30"/>
      <c r="AP141" s="30"/>
      <c r="AQ141" s="30"/>
      <c r="AR141" s="30"/>
      <c r="AS141" s="30"/>
      <c r="AT141" s="30"/>
    </row>
    <row r="142" ht="12.75" customHeight="1">
      <c r="A142" s="38"/>
      <c r="B142" s="38"/>
      <c r="C142" s="38"/>
      <c r="D142" s="38"/>
      <c r="E142" s="38"/>
      <c r="F142" s="38"/>
      <c r="G142" s="40"/>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0"/>
      <c r="AO142" s="30"/>
      <c r="AP142" s="30"/>
      <c r="AQ142" s="30"/>
      <c r="AR142" s="30"/>
      <c r="AS142" s="30"/>
      <c r="AT142" s="30"/>
    </row>
    <row r="143" ht="12.75" customHeight="1">
      <c r="A143" s="38"/>
      <c r="B143" s="38"/>
      <c r="C143" s="38"/>
      <c r="D143" s="38"/>
      <c r="E143" s="38"/>
      <c r="F143" s="38"/>
      <c r="G143" s="40"/>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0"/>
      <c r="AO143" s="30"/>
      <c r="AP143" s="30"/>
      <c r="AQ143" s="30"/>
      <c r="AR143" s="30"/>
      <c r="AS143" s="30"/>
      <c r="AT143" s="30"/>
    </row>
    <row r="144" ht="12.75" customHeight="1">
      <c r="A144" s="38"/>
      <c r="B144" s="38"/>
      <c r="C144" s="38"/>
      <c r="D144" s="38"/>
      <c r="E144" s="38"/>
      <c r="F144" s="38"/>
      <c r="G144" s="40"/>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0"/>
      <c r="AO144" s="30"/>
      <c r="AP144" s="30"/>
      <c r="AQ144" s="30"/>
      <c r="AR144" s="30"/>
      <c r="AS144" s="30"/>
      <c r="AT144" s="30"/>
    </row>
    <row r="145" ht="12.75" customHeight="1">
      <c r="A145" s="38"/>
      <c r="B145" s="38"/>
      <c r="C145" s="38"/>
      <c r="D145" s="38"/>
      <c r="E145" s="38"/>
      <c r="F145" s="38"/>
      <c r="G145" s="40"/>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0"/>
      <c r="AO145" s="30"/>
      <c r="AP145" s="30"/>
      <c r="AQ145" s="30"/>
      <c r="AR145" s="30"/>
      <c r="AS145" s="30"/>
      <c r="AT145" s="30"/>
    </row>
    <row r="146" ht="12.75" customHeight="1">
      <c r="A146" s="38"/>
      <c r="B146" s="38"/>
      <c r="C146" s="38"/>
      <c r="D146" s="38"/>
      <c r="E146" s="38"/>
      <c r="F146" s="38"/>
      <c r="G146" s="40"/>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0"/>
      <c r="AO146" s="30"/>
      <c r="AP146" s="30"/>
      <c r="AQ146" s="30"/>
      <c r="AR146" s="30"/>
      <c r="AS146" s="30"/>
      <c r="AT146" s="30"/>
    </row>
    <row r="147" ht="12.75" customHeight="1">
      <c r="A147" s="38"/>
      <c r="B147" s="38"/>
      <c r="C147" s="38"/>
      <c r="D147" s="38"/>
      <c r="E147" s="38"/>
      <c r="F147" s="38"/>
      <c r="G147" s="40"/>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0"/>
      <c r="AO147" s="30"/>
      <c r="AP147" s="30"/>
      <c r="AQ147" s="30"/>
      <c r="AR147" s="30"/>
      <c r="AS147" s="30"/>
      <c r="AT147" s="30"/>
    </row>
    <row r="148" ht="12.75" customHeight="1">
      <c r="A148" s="38"/>
      <c r="B148" s="38"/>
      <c r="C148" s="38"/>
      <c r="D148" s="38"/>
      <c r="E148" s="38"/>
      <c r="F148" s="38"/>
      <c r="G148" s="40"/>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0"/>
      <c r="AO148" s="30"/>
      <c r="AP148" s="30"/>
      <c r="AQ148" s="30"/>
      <c r="AR148" s="30"/>
      <c r="AS148" s="30"/>
      <c r="AT148" s="30"/>
    </row>
    <row r="149" ht="12.75" customHeight="1">
      <c r="A149" s="38"/>
      <c r="B149" s="38"/>
      <c r="C149" s="38"/>
      <c r="D149" s="38"/>
      <c r="E149" s="38"/>
      <c r="F149" s="38"/>
      <c r="G149" s="40"/>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0"/>
      <c r="AO149" s="30"/>
      <c r="AP149" s="30"/>
      <c r="AQ149" s="30"/>
      <c r="AR149" s="30"/>
      <c r="AS149" s="30"/>
      <c r="AT149" s="30"/>
    </row>
    <row r="150" ht="12.75" customHeight="1">
      <c r="A150" s="38"/>
      <c r="B150" s="38"/>
      <c r="C150" s="38"/>
      <c r="D150" s="38"/>
      <c r="E150" s="38"/>
      <c r="F150" s="38"/>
      <c r="G150" s="40"/>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0"/>
      <c r="AO150" s="30"/>
      <c r="AP150" s="30"/>
      <c r="AQ150" s="30"/>
      <c r="AR150" s="30"/>
      <c r="AS150" s="30"/>
      <c r="AT150" s="30"/>
    </row>
    <row r="151" ht="12.75" customHeight="1">
      <c r="A151" s="38"/>
      <c r="B151" s="38"/>
      <c r="C151" s="38"/>
      <c r="D151" s="38"/>
      <c r="E151" s="38"/>
      <c r="F151" s="38"/>
      <c r="G151" s="40"/>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0"/>
      <c r="AO151" s="30"/>
      <c r="AP151" s="30"/>
      <c r="AQ151" s="30"/>
      <c r="AR151" s="30"/>
      <c r="AS151" s="30"/>
      <c r="AT151" s="30"/>
    </row>
    <row r="152" ht="12.75" customHeight="1">
      <c r="A152" s="38"/>
      <c r="B152" s="189"/>
      <c r="C152" s="38"/>
      <c r="D152" s="38"/>
      <c r="E152" s="38"/>
      <c r="F152" s="38"/>
      <c r="G152" s="40"/>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0"/>
      <c r="AO152" s="30"/>
      <c r="AP152" s="30"/>
      <c r="AQ152" s="30"/>
      <c r="AR152" s="30"/>
      <c r="AS152" s="30"/>
      <c r="AT152" s="30"/>
    </row>
    <row r="153" ht="12.75" customHeight="1">
      <c r="A153" s="38"/>
      <c r="B153" s="38"/>
      <c r="C153" s="38"/>
      <c r="D153" s="38"/>
      <c r="E153" s="38"/>
      <c r="F153" s="38"/>
      <c r="G153" s="40"/>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0"/>
      <c r="AO153" s="30"/>
      <c r="AP153" s="30"/>
      <c r="AQ153" s="30"/>
      <c r="AR153" s="30"/>
      <c r="AS153" s="30"/>
      <c r="AT153" s="30"/>
    </row>
    <row r="154" ht="12.75" customHeight="1">
      <c r="A154" s="38"/>
      <c r="B154" s="38"/>
      <c r="C154" s="38"/>
      <c r="D154" s="38"/>
      <c r="E154" s="38"/>
      <c r="F154" s="38"/>
      <c r="G154" s="40"/>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0"/>
      <c r="AO154" s="30"/>
      <c r="AP154" s="30"/>
      <c r="AQ154" s="30"/>
      <c r="AR154" s="30"/>
      <c r="AS154" s="30"/>
      <c r="AT154" s="30"/>
    </row>
    <row r="155" ht="12.75" customHeight="1">
      <c r="A155" s="38"/>
      <c r="B155" s="38"/>
      <c r="C155" s="38"/>
      <c r="D155" s="38"/>
      <c r="E155" s="38"/>
      <c r="F155" s="38"/>
      <c r="G155" s="40"/>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0"/>
      <c r="AO155" s="30"/>
      <c r="AP155" s="30"/>
      <c r="AQ155" s="30"/>
      <c r="AR155" s="30"/>
      <c r="AS155" s="30"/>
      <c r="AT155" s="30"/>
    </row>
    <row r="156" ht="12.75" customHeight="1">
      <c r="A156" s="38"/>
      <c r="B156" s="38"/>
      <c r="C156" s="38"/>
      <c r="D156" s="38"/>
      <c r="E156" s="38"/>
      <c r="F156" s="38"/>
      <c r="G156" s="40"/>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0"/>
      <c r="AO156" s="30"/>
      <c r="AP156" s="30"/>
      <c r="AQ156" s="30"/>
      <c r="AR156" s="30"/>
      <c r="AS156" s="30"/>
      <c r="AT156" s="30"/>
    </row>
    <row r="157" ht="12.75" customHeight="1">
      <c r="A157" s="38"/>
      <c r="B157" s="38"/>
      <c r="C157" s="30"/>
      <c r="D157" s="38"/>
      <c r="E157" s="38"/>
      <c r="F157" s="38"/>
      <c r="G157" s="40"/>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0"/>
      <c r="AO157" s="30"/>
      <c r="AP157" s="30"/>
      <c r="AQ157" s="30"/>
      <c r="AR157" s="30"/>
      <c r="AS157" s="30"/>
      <c r="AT157" s="30"/>
    </row>
    <row r="158" ht="12.75" customHeight="1">
      <c r="A158" s="38"/>
      <c r="B158" s="38"/>
      <c r="C158" s="38"/>
      <c r="D158" s="38"/>
      <c r="E158" s="38"/>
      <c r="F158" s="38"/>
      <c r="G158" s="40"/>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0"/>
      <c r="AO158" s="30"/>
      <c r="AP158" s="30"/>
      <c r="AQ158" s="30"/>
      <c r="AR158" s="30"/>
      <c r="AS158" s="30"/>
      <c r="AT158" s="30"/>
    </row>
    <row r="159" ht="12.75" customHeight="1">
      <c r="A159" s="38"/>
      <c r="B159" s="38"/>
      <c r="C159" s="38"/>
      <c r="D159" s="38"/>
      <c r="E159" s="38"/>
      <c r="F159" s="38"/>
      <c r="G159" s="40"/>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0"/>
      <c r="AO159" s="30"/>
      <c r="AP159" s="30"/>
      <c r="AQ159" s="30"/>
      <c r="AR159" s="30"/>
      <c r="AS159" s="30"/>
      <c r="AT159" s="30"/>
    </row>
    <row r="160" ht="12.75" customHeight="1">
      <c r="A160" s="38"/>
      <c r="B160" s="38"/>
      <c r="C160" s="38"/>
      <c r="D160" s="38"/>
      <c r="E160" s="38"/>
      <c r="F160" s="38"/>
      <c r="G160" s="40"/>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0"/>
      <c r="AO160" s="30"/>
      <c r="AP160" s="30"/>
      <c r="AQ160" s="30"/>
      <c r="AR160" s="30"/>
      <c r="AS160" s="30"/>
      <c r="AT160" s="30"/>
    </row>
    <row r="161" ht="12.75" customHeight="1">
      <c r="A161" s="38"/>
      <c r="B161" s="38"/>
      <c r="C161" s="38"/>
      <c r="D161" s="38"/>
      <c r="E161" s="38"/>
      <c r="F161" s="38"/>
      <c r="G161" s="40"/>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0"/>
      <c r="AO161" s="30"/>
      <c r="AP161" s="30"/>
      <c r="AQ161" s="30"/>
      <c r="AR161" s="30"/>
      <c r="AS161" s="30"/>
      <c r="AT161" s="30"/>
    </row>
    <row r="162" ht="12.75" customHeight="1">
      <c r="A162" s="38"/>
      <c r="B162" s="38"/>
      <c r="C162" s="38"/>
      <c r="D162" s="38"/>
      <c r="E162" s="38"/>
      <c r="F162" s="38"/>
      <c r="G162" s="40"/>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0"/>
      <c r="AO162" s="30"/>
      <c r="AP162" s="30"/>
      <c r="AQ162" s="30"/>
      <c r="AR162" s="30"/>
      <c r="AS162" s="30"/>
      <c r="AT162" s="30"/>
    </row>
    <row r="163" ht="12.75" customHeight="1">
      <c r="A163" s="38"/>
      <c r="B163" s="38"/>
      <c r="C163" s="38"/>
      <c r="D163" s="38"/>
      <c r="E163" s="38"/>
      <c r="F163" s="38"/>
      <c r="G163" s="40"/>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0"/>
      <c r="AO163" s="30"/>
      <c r="AP163" s="30"/>
      <c r="AQ163" s="30"/>
      <c r="AR163" s="30"/>
      <c r="AS163" s="30"/>
      <c r="AT163" s="30"/>
    </row>
    <row r="164" ht="12.75" customHeight="1">
      <c r="A164" s="38"/>
      <c r="B164" s="38"/>
      <c r="C164" s="38"/>
      <c r="D164" s="38"/>
      <c r="E164" s="38"/>
      <c r="F164" s="38"/>
      <c r="G164" s="40"/>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0"/>
      <c r="AO164" s="30"/>
      <c r="AP164" s="30"/>
      <c r="AQ164" s="30"/>
      <c r="AR164" s="30"/>
      <c r="AS164" s="30"/>
      <c r="AT164" s="30"/>
    </row>
    <row r="165" ht="12.75" customHeight="1">
      <c r="A165" s="38"/>
      <c r="B165" s="38"/>
      <c r="C165" s="38"/>
      <c r="D165" s="38"/>
      <c r="E165" s="38"/>
      <c r="F165" s="38"/>
      <c r="G165" s="40"/>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0"/>
      <c r="AO165" s="30"/>
      <c r="AP165" s="30"/>
      <c r="AQ165" s="30"/>
      <c r="AR165" s="30"/>
      <c r="AS165" s="30"/>
      <c r="AT165" s="30"/>
    </row>
    <row r="166" ht="12.75" customHeight="1">
      <c r="A166" s="38"/>
      <c r="B166" s="38"/>
      <c r="C166" s="38"/>
      <c r="D166" s="38"/>
      <c r="E166" s="38"/>
      <c r="F166" s="38"/>
      <c r="G166" s="40"/>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0"/>
      <c r="AO166" s="30"/>
      <c r="AP166" s="30"/>
      <c r="AQ166" s="30"/>
      <c r="AR166" s="30"/>
      <c r="AS166" s="30"/>
      <c r="AT166" s="30"/>
    </row>
    <row r="167" ht="12.75" customHeight="1">
      <c r="A167" s="38"/>
      <c r="B167" s="38"/>
      <c r="C167" s="38"/>
      <c r="D167" s="38"/>
      <c r="E167" s="38"/>
      <c r="F167" s="38"/>
      <c r="G167" s="40"/>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0"/>
      <c r="AO167" s="30"/>
      <c r="AP167" s="30"/>
      <c r="AQ167" s="30"/>
      <c r="AR167" s="30"/>
      <c r="AS167" s="30"/>
      <c r="AT167" s="30"/>
    </row>
    <row r="168" ht="12.75" customHeight="1">
      <c r="A168" s="38"/>
      <c r="B168" s="38"/>
      <c r="C168" s="38"/>
      <c r="D168" s="38"/>
      <c r="E168" s="38"/>
      <c r="F168" s="38"/>
      <c r="G168" s="40"/>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0"/>
      <c r="AO168" s="30"/>
      <c r="AP168" s="30"/>
      <c r="AQ168" s="30"/>
      <c r="AR168" s="30"/>
      <c r="AS168" s="30"/>
      <c r="AT168" s="30"/>
    </row>
    <row r="169" ht="12.75" customHeight="1">
      <c r="A169" s="38"/>
      <c r="B169" s="38"/>
      <c r="C169" s="38"/>
      <c r="D169" s="38"/>
      <c r="E169" s="38"/>
      <c r="F169" s="38"/>
      <c r="G169" s="40"/>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0"/>
      <c r="AO169" s="30"/>
      <c r="AP169" s="30"/>
      <c r="AQ169" s="30"/>
      <c r="AR169" s="30"/>
      <c r="AS169" s="30"/>
      <c r="AT169" s="30"/>
    </row>
    <row r="170" ht="12.75" customHeight="1">
      <c r="A170" s="38"/>
      <c r="B170" s="38"/>
      <c r="C170" s="38"/>
      <c r="D170" s="38"/>
      <c r="E170" s="38"/>
      <c r="F170" s="38"/>
      <c r="G170" s="40"/>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0"/>
      <c r="AO170" s="30"/>
      <c r="AP170" s="30"/>
      <c r="AQ170" s="30"/>
      <c r="AR170" s="30"/>
      <c r="AS170" s="30"/>
      <c r="AT170" s="30"/>
    </row>
    <row r="171" ht="12.75" customHeight="1">
      <c r="A171" s="38"/>
      <c r="B171" s="38"/>
      <c r="C171" s="38"/>
      <c r="D171" s="38"/>
      <c r="E171" s="38"/>
      <c r="F171" s="38"/>
      <c r="G171" s="40"/>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0"/>
      <c r="AO171" s="30"/>
      <c r="AP171" s="30"/>
      <c r="AQ171" s="30"/>
      <c r="AR171" s="30"/>
      <c r="AS171" s="30"/>
      <c r="AT171" s="30"/>
    </row>
    <row r="172" ht="12.75" customHeight="1">
      <c r="A172" s="38"/>
      <c r="B172" s="38"/>
      <c r="C172" s="38"/>
      <c r="D172" s="38"/>
      <c r="E172" s="38"/>
      <c r="F172" s="38"/>
      <c r="G172" s="40"/>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0"/>
      <c r="AO172" s="30"/>
      <c r="AP172" s="30"/>
      <c r="AQ172" s="30"/>
      <c r="AR172" s="30"/>
      <c r="AS172" s="30"/>
      <c r="AT172" s="30"/>
    </row>
    <row r="173" ht="12.75" customHeight="1">
      <c r="A173" s="38"/>
      <c r="B173" s="38"/>
      <c r="C173" s="38"/>
      <c r="D173" s="38"/>
      <c r="E173" s="38"/>
      <c r="F173" s="38"/>
      <c r="G173" s="40"/>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0"/>
      <c r="AO173" s="30"/>
      <c r="AP173" s="30"/>
      <c r="AQ173" s="30"/>
      <c r="AR173" s="30"/>
      <c r="AS173" s="30"/>
      <c r="AT173" s="30"/>
    </row>
    <row r="174" ht="12.75" customHeight="1">
      <c r="A174" s="38"/>
      <c r="B174" s="38"/>
      <c r="C174" s="38"/>
      <c r="D174" s="38"/>
      <c r="E174" s="38"/>
      <c r="F174" s="38"/>
      <c r="G174" s="40"/>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0"/>
      <c r="AO174" s="30"/>
      <c r="AP174" s="30"/>
      <c r="AQ174" s="30"/>
      <c r="AR174" s="30"/>
      <c r="AS174" s="30"/>
      <c r="AT174" s="30"/>
    </row>
    <row r="175" ht="12.75" customHeight="1">
      <c r="A175" s="38"/>
      <c r="B175" s="38"/>
      <c r="C175" s="38"/>
      <c r="D175" s="38"/>
      <c r="E175" s="38"/>
      <c r="F175" s="38"/>
      <c r="G175" s="40"/>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0"/>
      <c r="AO175" s="30"/>
      <c r="AP175" s="30"/>
      <c r="AQ175" s="30"/>
      <c r="AR175" s="30"/>
      <c r="AS175" s="30"/>
      <c r="AT175" s="30"/>
    </row>
    <row r="176" ht="12.75" customHeight="1">
      <c r="A176" s="38"/>
      <c r="B176" s="38"/>
      <c r="C176" s="38"/>
      <c r="D176" s="38"/>
      <c r="E176" s="38"/>
      <c r="F176" s="38"/>
      <c r="G176" s="40"/>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0"/>
      <c r="AO176" s="30"/>
      <c r="AP176" s="30"/>
      <c r="AQ176" s="30"/>
      <c r="AR176" s="30"/>
      <c r="AS176" s="30"/>
      <c r="AT176" s="30"/>
    </row>
    <row r="177" ht="12.75" customHeight="1">
      <c r="A177" s="38"/>
      <c r="B177" s="38"/>
      <c r="C177" s="38"/>
      <c r="D177" s="38"/>
      <c r="E177" s="38"/>
      <c r="F177" s="38"/>
      <c r="G177" s="40"/>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0"/>
      <c r="AO177" s="30"/>
      <c r="AP177" s="30"/>
      <c r="AQ177" s="30"/>
      <c r="AR177" s="30"/>
      <c r="AS177" s="30"/>
      <c r="AT177" s="30"/>
    </row>
    <row r="178" ht="12.75" customHeight="1">
      <c r="A178" s="38"/>
      <c r="B178" s="38"/>
      <c r="C178" s="38"/>
      <c r="D178" s="38"/>
      <c r="E178" s="38"/>
      <c r="F178" s="38"/>
      <c r="G178" s="40"/>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0"/>
      <c r="AO178" s="30"/>
      <c r="AP178" s="30"/>
      <c r="AQ178" s="30"/>
      <c r="AR178" s="30"/>
      <c r="AS178" s="30"/>
      <c r="AT178" s="30"/>
    </row>
    <row r="179" ht="12.75" customHeight="1">
      <c r="A179" s="38"/>
      <c r="B179" s="38"/>
      <c r="C179" s="38"/>
      <c r="D179" s="38"/>
      <c r="E179" s="38"/>
      <c r="F179" s="38"/>
      <c r="G179" s="40"/>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0"/>
      <c r="AO179" s="30"/>
      <c r="AP179" s="30"/>
      <c r="AQ179" s="30"/>
      <c r="AR179" s="30"/>
      <c r="AS179" s="30"/>
      <c r="AT179" s="30"/>
    </row>
    <row r="180" ht="12.75" customHeight="1">
      <c r="A180" s="38"/>
      <c r="B180" s="38"/>
      <c r="C180" s="38"/>
      <c r="D180" s="38"/>
      <c r="E180" s="38"/>
      <c r="F180" s="38"/>
      <c r="G180" s="40"/>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0"/>
      <c r="AO180" s="30"/>
      <c r="AP180" s="30"/>
      <c r="AQ180" s="30"/>
      <c r="AR180" s="30"/>
      <c r="AS180" s="30"/>
      <c r="AT180" s="30"/>
    </row>
    <row r="181" ht="12.75" customHeight="1">
      <c r="A181" s="38"/>
      <c r="B181" s="38"/>
      <c r="C181" s="38"/>
      <c r="D181" s="38"/>
      <c r="E181" s="38"/>
      <c r="F181" s="38"/>
      <c r="G181" s="40"/>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0"/>
      <c r="AO181" s="30"/>
      <c r="AP181" s="30"/>
      <c r="AQ181" s="30"/>
      <c r="AR181" s="30"/>
      <c r="AS181" s="30"/>
      <c r="AT181" s="30"/>
    </row>
    <row r="182" ht="12.75" customHeight="1">
      <c r="A182" s="38"/>
      <c r="B182" s="38"/>
      <c r="C182" s="38"/>
      <c r="D182" s="38"/>
      <c r="E182" s="38"/>
      <c r="F182" s="38"/>
      <c r="G182" s="40"/>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0"/>
      <c r="AO182" s="30"/>
      <c r="AP182" s="30"/>
      <c r="AQ182" s="30"/>
      <c r="AR182" s="30"/>
      <c r="AS182" s="30"/>
      <c r="AT182" s="30"/>
    </row>
    <row r="183" ht="12.75" customHeight="1">
      <c r="A183" s="38"/>
      <c r="B183" s="38"/>
      <c r="C183" s="38"/>
      <c r="D183" s="38"/>
      <c r="E183" s="38"/>
      <c r="F183" s="38"/>
      <c r="G183" s="40"/>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0"/>
      <c r="AO183" s="30"/>
      <c r="AP183" s="30"/>
      <c r="AQ183" s="30"/>
      <c r="AR183" s="30"/>
      <c r="AS183" s="30"/>
      <c r="AT183" s="30"/>
    </row>
    <row r="184" ht="12.75" customHeight="1">
      <c r="A184" s="38"/>
      <c r="B184" s="38"/>
      <c r="C184" s="38"/>
      <c r="D184" s="38"/>
      <c r="E184" s="38"/>
      <c r="F184" s="38"/>
      <c r="G184" s="40"/>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0"/>
      <c r="AO184" s="30"/>
      <c r="AP184" s="30"/>
      <c r="AQ184" s="30"/>
      <c r="AR184" s="30"/>
      <c r="AS184" s="30"/>
      <c r="AT184" s="30"/>
    </row>
    <row r="185" ht="12.75" customHeight="1">
      <c r="A185" s="38"/>
      <c r="B185" s="38"/>
      <c r="C185" s="38"/>
      <c r="D185" s="38"/>
      <c r="E185" s="38"/>
      <c r="F185" s="38"/>
      <c r="G185" s="40"/>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0"/>
      <c r="AO185" s="30"/>
      <c r="AP185" s="30"/>
      <c r="AQ185" s="30"/>
      <c r="AR185" s="30"/>
      <c r="AS185" s="30"/>
      <c r="AT185" s="30"/>
    </row>
    <row r="186" ht="12.75" customHeight="1">
      <c r="A186" s="38"/>
      <c r="B186" s="38"/>
      <c r="C186" s="38"/>
      <c r="D186" s="38"/>
      <c r="E186" s="38"/>
      <c r="F186" s="38"/>
      <c r="G186" s="40"/>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0"/>
      <c r="AO186" s="30"/>
      <c r="AP186" s="30"/>
      <c r="AQ186" s="30"/>
      <c r="AR186" s="30"/>
      <c r="AS186" s="30"/>
      <c r="AT186" s="30"/>
    </row>
    <row r="187" ht="12.75" customHeight="1">
      <c r="A187" s="38"/>
      <c r="B187" s="38"/>
      <c r="C187" s="38"/>
      <c r="D187" s="38"/>
      <c r="E187" s="38"/>
      <c r="F187" s="38"/>
      <c r="G187" s="40"/>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0"/>
      <c r="AO187" s="30"/>
      <c r="AP187" s="30"/>
      <c r="AQ187" s="30"/>
      <c r="AR187" s="30"/>
      <c r="AS187" s="30"/>
      <c r="AT187" s="30"/>
    </row>
    <row r="188" ht="12.75" customHeight="1">
      <c r="A188" s="38"/>
      <c r="B188" s="38"/>
      <c r="C188" s="38"/>
      <c r="D188" s="38"/>
      <c r="E188" s="38"/>
      <c r="F188" s="38"/>
      <c r="G188" s="40"/>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0"/>
      <c r="AO188" s="30"/>
      <c r="AP188" s="30"/>
      <c r="AQ188" s="30"/>
      <c r="AR188" s="30"/>
      <c r="AS188" s="30"/>
      <c r="AT188" s="30"/>
    </row>
    <row r="189" ht="12.75" customHeight="1">
      <c r="A189" s="38"/>
      <c r="B189" s="38"/>
      <c r="C189" s="38"/>
      <c r="D189" s="38"/>
      <c r="E189" s="38"/>
      <c r="F189" s="38"/>
      <c r="G189" s="40"/>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0"/>
      <c r="AO189" s="30"/>
      <c r="AP189" s="30"/>
      <c r="AQ189" s="30"/>
      <c r="AR189" s="30"/>
      <c r="AS189" s="30"/>
      <c r="AT189" s="30"/>
    </row>
    <row r="190" ht="12.75" customHeight="1">
      <c r="A190" s="38"/>
      <c r="B190" s="38"/>
      <c r="C190" s="38"/>
      <c r="D190" s="38"/>
      <c r="E190" s="38"/>
      <c r="F190" s="38"/>
      <c r="G190" s="40"/>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0"/>
      <c r="AO190" s="30"/>
      <c r="AP190" s="30"/>
      <c r="AQ190" s="30"/>
      <c r="AR190" s="30"/>
      <c r="AS190" s="30"/>
      <c r="AT190" s="30"/>
    </row>
    <row r="191" ht="12.75" customHeight="1">
      <c r="A191" s="38"/>
      <c r="B191" s="38"/>
      <c r="C191" s="38"/>
      <c r="D191" s="38"/>
      <c r="E191" s="38"/>
      <c r="F191" s="38"/>
      <c r="G191" s="40"/>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0"/>
      <c r="AO191" s="30"/>
      <c r="AP191" s="30"/>
      <c r="AQ191" s="30"/>
      <c r="AR191" s="30"/>
      <c r="AS191" s="30"/>
      <c r="AT191" s="30"/>
    </row>
    <row r="192" ht="12.75" customHeight="1">
      <c r="A192" s="38"/>
      <c r="B192" s="38"/>
      <c r="C192" s="38"/>
      <c r="D192" s="38"/>
      <c r="E192" s="38"/>
      <c r="F192" s="38"/>
      <c r="G192" s="40"/>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0"/>
      <c r="AO192" s="30"/>
      <c r="AP192" s="30"/>
      <c r="AQ192" s="30"/>
      <c r="AR192" s="30"/>
      <c r="AS192" s="30"/>
      <c r="AT192" s="30"/>
    </row>
    <row r="193" ht="12.75" customHeight="1">
      <c r="A193" s="38"/>
      <c r="B193" s="38"/>
      <c r="C193" s="38"/>
      <c r="D193" s="38"/>
      <c r="E193" s="38"/>
      <c r="F193" s="38"/>
      <c r="G193" s="40"/>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0"/>
      <c r="AO193" s="30"/>
      <c r="AP193" s="30"/>
      <c r="AQ193" s="30"/>
      <c r="AR193" s="30"/>
      <c r="AS193" s="30"/>
      <c r="AT193" s="30"/>
    </row>
    <row r="194" ht="12.75" customHeight="1">
      <c r="A194" s="38"/>
      <c r="B194" s="38"/>
      <c r="C194" s="38"/>
      <c r="D194" s="38"/>
      <c r="E194" s="38"/>
      <c r="F194" s="38"/>
      <c r="G194" s="40"/>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0"/>
      <c r="AO194" s="30"/>
      <c r="AP194" s="30"/>
      <c r="AQ194" s="30"/>
      <c r="AR194" s="30"/>
      <c r="AS194" s="30"/>
      <c r="AT194" s="30"/>
    </row>
    <row r="195" ht="12.75" customHeight="1">
      <c r="A195" s="38"/>
      <c r="B195" s="38"/>
      <c r="C195" s="38"/>
      <c r="D195" s="38"/>
      <c r="E195" s="38"/>
      <c r="F195" s="38"/>
      <c r="G195" s="40"/>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0"/>
      <c r="AO195" s="30"/>
      <c r="AP195" s="30"/>
      <c r="AQ195" s="30"/>
      <c r="AR195" s="30"/>
      <c r="AS195" s="30"/>
      <c r="AT195" s="30"/>
    </row>
    <row r="196" ht="12.75" customHeight="1">
      <c r="A196" s="38"/>
      <c r="B196" s="38"/>
      <c r="C196" s="38"/>
      <c r="D196" s="38"/>
      <c r="E196" s="38"/>
      <c r="F196" s="38"/>
      <c r="G196" s="40"/>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0"/>
      <c r="AO196" s="30"/>
      <c r="AP196" s="30"/>
      <c r="AQ196" s="30"/>
      <c r="AR196" s="30"/>
      <c r="AS196" s="30"/>
      <c r="AT196" s="30"/>
    </row>
    <row r="197" ht="12.75" customHeight="1">
      <c r="A197" s="30"/>
      <c r="B197" s="30"/>
      <c r="C197" s="30"/>
      <c r="D197" s="30"/>
      <c r="E197" s="30"/>
      <c r="F197" s="30"/>
      <c r="G197" s="4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row>
    <row r="198" ht="12.75" customHeight="1">
      <c r="A198" s="30"/>
      <c r="B198" s="30"/>
      <c r="C198" s="30"/>
      <c r="D198" s="30"/>
      <c r="E198" s="30"/>
      <c r="F198" s="30"/>
      <c r="G198" s="4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row>
    <row r="199" ht="12.75" customHeight="1">
      <c r="A199" s="30"/>
      <c r="B199" s="30"/>
      <c r="C199" s="30"/>
      <c r="D199" s="30"/>
      <c r="E199" s="30"/>
      <c r="F199" s="30"/>
      <c r="G199" s="4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row>
    <row r="200" ht="12.75" customHeight="1">
      <c r="A200" s="30"/>
      <c r="B200" s="30"/>
      <c r="C200" s="30"/>
      <c r="D200" s="30"/>
      <c r="E200" s="30"/>
      <c r="F200" s="30"/>
      <c r="G200" s="44"/>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row>
    <row r="201" ht="12.75" customHeight="1">
      <c r="A201" s="30"/>
      <c r="B201" s="30"/>
      <c r="C201" s="30"/>
      <c r="D201" s="30"/>
      <c r="E201" s="30"/>
      <c r="F201" s="30"/>
      <c r="G201" s="44"/>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row>
    <row r="202" ht="12.75" customHeight="1">
      <c r="A202" s="30"/>
      <c r="B202" s="30"/>
      <c r="C202" s="30"/>
      <c r="D202" s="30"/>
      <c r="E202" s="30"/>
      <c r="F202" s="30"/>
      <c r="G202" s="44"/>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row>
    <row r="203" ht="12.75" customHeight="1">
      <c r="A203" s="30"/>
      <c r="B203" s="30"/>
      <c r="C203" s="30"/>
      <c r="D203" s="30"/>
      <c r="E203" s="30"/>
      <c r="F203" s="30"/>
      <c r="G203" s="44"/>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row>
    <row r="204" ht="12.75" customHeight="1">
      <c r="A204" s="30"/>
      <c r="B204" s="30"/>
      <c r="C204" s="30"/>
      <c r="D204" s="30"/>
      <c r="E204" s="30"/>
      <c r="F204" s="30"/>
      <c r="G204" s="44"/>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row>
    <row r="205" ht="12.75" customHeight="1">
      <c r="A205" s="30"/>
      <c r="B205" s="30"/>
      <c r="C205" s="30"/>
      <c r="D205" s="30"/>
      <c r="E205" s="30"/>
      <c r="F205" s="30"/>
      <c r="G205" s="44"/>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row>
    <row r="206" ht="12.75" customHeight="1">
      <c r="A206" s="30"/>
      <c r="B206" s="30"/>
      <c r="C206" s="30"/>
      <c r="D206" s="30"/>
      <c r="E206" s="30"/>
      <c r="F206" s="30"/>
      <c r="G206" s="44"/>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row>
    <row r="207" ht="12.75" customHeight="1">
      <c r="A207" s="30"/>
      <c r="B207" s="30"/>
      <c r="C207" s="30"/>
      <c r="D207" s="30"/>
      <c r="E207" s="30"/>
      <c r="F207" s="30"/>
      <c r="G207" s="44"/>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row>
    <row r="208" ht="12.75" customHeight="1">
      <c r="A208" s="30"/>
      <c r="B208" s="30"/>
      <c r="C208" s="30"/>
      <c r="D208" s="30"/>
      <c r="E208" s="30"/>
      <c r="F208" s="30"/>
      <c r="G208" s="44"/>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row>
    <row r="209" ht="12.75" customHeight="1">
      <c r="A209" s="30"/>
      <c r="B209" s="30"/>
      <c r="C209" s="30"/>
      <c r="D209" s="30"/>
      <c r="E209" s="30"/>
      <c r="F209" s="30"/>
      <c r="G209" s="44"/>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row>
    <row r="210" ht="12.75" customHeight="1">
      <c r="A210" s="30"/>
      <c r="B210" s="30"/>
      <c r="C210" s="30"/>
      <c r="D210" s="30"/>
      <c r="E210" s="30"/>
      <c r="F210" s="30"/>
      <c r="G210" s="44"/>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row>
    <row r="211" ht="12.75" customHeight="1">
      <c r="A211" s="30"/>
      <c r="B211" s="30"/>
      <c r="C211" s="30"/>
      <c r="D211" s="30"/>
      <c r="E211" s="30"/>
      <c r="F211" s="30"/>
      <c r="G211" s="44"/>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row>
    <row r="212" ht="12.75" customHeight="1">
      <c r="A212" s="30"/>
      <c r="B212" s="30"/>
      <c r="C212" s="30"/>
      <c r="D212" s="30"/>
      <c r="E212" s="30"/>
      <c r="F212" s="30"/>
      <c r="G212" s="44"/>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row>
    <row r="213" ht="12.75" customHeight="1">
      <c r="A213" s="30"/>
      <c r="B213" s="30"/>
      <c r="C213" s="30"/>
      <c r="D213" s="30"/>
      <c r="E213" s="30"/>
      <c r="F213" s="30"/>
      <c r="G213" s="44"/>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row>
    <row r="214" ht="12.75" customHeight="1">
      <c r="A214" s="30"/>
      <c r="B214" s="30"/>
      <c r="C214" s="30"/>
      <c r="D214" s="30"/>
      <c r="E214" s="30"/>
      <c r="F214" s="30"/>
      <c r="G214" s="44"/>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row>
    <row r="215" ht="12.75" customHeight="1">
      <c r="A215" s="30"/>
      <c r="B215" s="30"/>
      <c r="C215" s="30"/>
      <c r="D215" s="30"/>
      <c r="E215" s="30"/>
      <c r="F215" s="30"/>
      <c r="G215" s="44"/>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row>
    <row r="216" ht="12.75" customHeight="1">
      <c r="A216" s="30"/>
      <c r="B216" s="30"/>
      <c r="C216" s="30"/>
      <c r="D216" s="30"/>
      <c r="E216" s="30"/>
      <c r="F216" s="30"/>
      <c r="G216" s="44"/>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row>
    <row r="217" ht="12.75" customHeight="1">
      <c r="A217" s="30"/>
      <c r="B217" s="30"/>
      <c r="C217" s="30"/>
      <c r="D217" s="30"/>
      <c r="E217" s="30"/>
      <c r="F217" s="30"/>
      <c r="G217" s="44"/>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row>
    <row r="218" ht="12.75" customHeight="1">
      <c r="A218" s="30"/>
      <c r="B218" s="30"/>
      <c r="C218" s="30"/>
      <c r="D218" s="30"/>
      <c r="E218" s="30"/>
      <c r="F218" s="30"/>
      <c r="G218" s="44"/>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row>
    <row r="219" ht="12.75" customHeight="1">
      <c r="A219" s="30"/>
      <c r="B219" s="30"/>
      <c r="C219" s="30"/>
      <c r="D219" s="30"/>
      <c r="E219" s="30"/>
      <c r="F219" s="30"/>
      <c r="G219" s="44"/>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row>
    <row r="220" ht="12.75" customHeight="1">
      <c r="A220" s="30"/>
      <c r="B220" s="30"/>
      <c r="C220" s="30"/>
      <c r="D220" s="30"/>
      <c r="E220" s="30"/>
      <c r="F220" s="30"/>
      <c r="G220" s="44"/>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row>
    <row r="221" ht="12.75" customHeight="1">
      <c r="A221" s="30"/>
      <c r="B221" s="30"/>
      <c r="C221" s="30"/>
      <c r="D221" s="30"/>
      <c r="E221" s="30"/>
      <c r="F221" s="30"/>
      <c r="G221" s="44"/>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row>
    <row r="222" ht="12.75" customHeight="1">
      <c r="A222" s="30"/>
      <c r="B222" s="30"/>
      <c r="C222" s="30"/>
      <c r="D222" s="30"/>
      <c r="E222" s="30"/>
      <c r="F222" s="30"/>
      <c r="G222" s="44"/>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row>
    <row r="223" ht="12.75" customHeight="1">
      <c r="A223" s="30"/>
      <c r="B223" s="30"/>
      <c r="C223" s="30"/>
      <c r="D223" s="30"/>
      <c r="E223" s="30"/>
      <c r="F223" s="30"/>
      <c r="G223" s="44"/>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row>
    <row r="224" ht="12.75" customHeight="1">
      <c r="A224" s="30"/>
      <c r="B224" s="30"/>
      <c r="C224" s="30"/>
      <c r="D224" s="30"/>
      <c r="E224" s="30"/>
      <c r="F224" s="30"/>
      <c r="G224" s="44"/>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row>
    <row r="225" ht="12.75" customHeight="1">
      <c r="A225" s="30"/>
      <c r="B225" s="30"/>
      <c r="C225" s="30"/>
      <c r="D225" s="30"/>
      <c r="E225" s="30"/>
      <c r="F225" s="30"/>
      <c r="G225" s="44"/>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row>
    <row r="226" ht="12.75" customHeight="1">
      <c r="A226" s="30"/>
      <c r="B226" s="30"/>
      <c r="C226" s="30"/>
      <c r="D226" s="30"/>
      <c r="E226" s="30"/>
      <c r="F226" s="30"/>
      <c r="G226" s="44"/>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row>
    <row r="227" ht="12.75" customHeight="1">
      <c r="A227" s="30"/>
      <c r="B227" s="30"/>
      <c r="C227" s="30"/>
      <c r="D227" s="30"/>
      <c r="E227" s="30"/>
      <c r="F227" s="30"/>
      <c r="G227" s="44"/>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row>
    <row r="228" ht="12.75" customHeight="1">
      <c r="A228" s="30"/>
      <c r="B228" s="30"/>
      <c r="C228" s="30"/>
      <c r="D228" s="30"/>
      <c r="E228" s="30"/>
      <c r="F228" s="30"/>
      <c r="G228" s="44"/>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row>
    <row r="229" ht="12.75" customHeight="1">
      <c r="A229" s="30"/>
      <c r="B229" s="30"/>
      <c r="C229" s="30"/>
      <c r="D229" s="30"/>
      <c r="E229" s="30"/>
      <c r="F229" s="30"/>
      <c r="G229" s="44"/>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row>
    <row r="230" ht="12.75" customHeight="1">
      <c r="A230" s="30"/>
      <c r="B230" s="30"/>
      <c r="C230" s="30"/>
      <c r="D230" s="30"/>
      <c r="E230" s="30"/>
      <c r="F230" s="30"/>
      <c r="G230" s="44"/>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row>
    <row r="231" ht="12.75" customHeight="1">
      <c r="A231" s="30"/>
      <c r="B231" s="30"/>
      <c r="C231" s="30"/>
      <c r="D231" s="30"/>
      <c r="E231" s="30"/>
      <c r="F231" s="30"/>
      <c r="G231" s="44"/>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row>
    <row r="232" ht="12.75" customHeight="1">
      <c r="A232" s="30"/>
      <c r="B232" s="30"/>
      <c r="C232" s="30"/>
      <c r="D232" s="30"/>
      <c r="E232" s="30"/>
      <c r="F232" s="30"/>
      <c r="G232" s="44"/>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row>
    <row r="233" ht="12.75" customHeight="1">
      <c r="A233" s="30"/>
      <c r="B233" s="30"/>
      <c r="C233" s="30"/>
      <c r="D233" s="30"/>
      <c r="E233" s="30"/>
      <c r="F233" s="30"/>
      <c r="G233" s="44"/>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row>
    <row r="234" ht="12.75" customHeight="1">
      <c r="A234" s="30"/>
      <c r="B234" s="30"/>
      <c r="C234" s="30"/>
      <c r="D234" s="30"/>
      <c r="E234" s="30"/>
      <c r="F234" s="30"/>
      <c r="G234" s="44"/>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row>
    <row r="235" ht="12.75" customHeight="1">
      <c r="A235" s="30"/>
      <c r="B235" s="30"/>
      <c r="C235" s="30"/>
      <c r="D235" s="30"/>
      <c r="E235" s="30"/>
      <c r="F235" s="30"/>
      <c r="G235" s="44"/>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row>
    <row r="236" ht="12.75" customHeight="1">
      <c r="A236" s="30"/>
      <c r="B236" s="30"/>
      <c r="C236" s="30"/>
      <c r="D236" s="30"/>
      <c r="E236" s="30"/>
      <c r="F236" s="30"/>
      <c r="G236" s="44"/>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row>
    <row r="237" ht="12.75" customHeight="1">
      <c r="A237" s="30"/>
      <c r="B237" s="30"/>
      <c r="C237" s="30"/>
      <c r="D237" s="30"/>
      <c r="E237" s="30"/>
      <c r="F237" s="30"/>
      <c r="G237" s="44"/>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row>
    <row r="238" ht="12.75" customHeight="1">
      <c r="A238" s="30"/>
      <c r="B238" s="30"/>
      <c r="C238" s="30"/>
      <c r="D238" s="30"/>
      <c r="E238" s="30"/>
      <c r="F238" s="30"/>
      <c r="G238" s="44"/>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row>
    <row r="239" ht="12.75" customHeight="1">
      <c r="A239" s="30"/>
      <c r="B239" s="30"/>
      <c r="C239" s="30"/>
      <c r="D239" s="30"/>
      <c r="E239" s="30"/>
      <c r="F239" s="30"/>
      <c r="G239" s="44"/>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row>
    <row r="240" ht="12.75" customHeight="1">
      <c r="A240" s="30"/>
      <c r="B240" s="30"/>
      <c r="C240" s="30"/>
      <c r="D240" s="30"/>
      <c r="E240" s="30"/>
      <c r="F240" s="30"/>
      <c r="G240" s="44"/>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row>
    <row r="241" ht="12.75" customHeight="1">
      <c r="A241" s="30"/>
      <c r="B241" s="30"/>
      <c r="C241" s="30"/>
      <c r="D241" s="30"/>
      <c r="E241" s="30"/>
      <c r="F241" s="30"/>
      <c r="G241" s="44"/>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row>
    <row r="242" ht="12.75" customHeight="1">
      <c r="A242" s="30"/>
      <c r="B242" s="30"/>
      <c r="C242" s="30"/>
      <c r="D242" s="30"/>
      <c r="E242" s="30"/>
      <c r="F242" s="30"/>
      <c r="G242" s="44"/>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row>
    <row r="243" ht="12.75" customHeight="1">
      <c r="A243" s="30"/>
      <c r="B243" s="30"/>
      <c r="C243" s="30"/>
      <c r="D243" s="30"/>
      <c r="E243" s="30"/>
      <c r="F243" s="30"/>
      <c r="G243" s="44"/>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row>
    <row r="244" ht="12.75" customHeight="1">
      <c r="A244" s="30"/>
      <c r="B244" s="30"/>
      <c r="C244" s="30"/>
      <c r="D244" s="30"/>
      <c r="E244" s="30"/>
      <c r="F244" s="30"/>
      <c r="G244" s="44"/>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row>
    <row r="245" ht="12.75" customHeight="1">
      <c r="A245" s="30"/>
      <c r="B245" s="30"/>
      <c r="C245" s="30"/>
      <c r="D245" s="30"/>
      <c r="E245" s="30"/>
      <c r="F245" s="30"/>
      <c r="G245" s="44"/>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row>
    <row r="246" ht="12.75" customHeight="1">
      <c r="A246" s="30"/>
      <c r="B246" s="30"/>
      <c r="C246" s="30"/>
      <c r="D246" s="30"/>
      <c r="E246" s="30"/>
      <c r="F246" s="30"/>
      <c r="G246" s="44"/>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row>
    <row r="247" ht="12.75" customHeight="1">
      <c r="A247" s="30"/>
      <c r="B247" s="30"/>
      <c r="C247" s="30"/>
      <c r="D247" s="30"/>
      <c r="E247" s="30"/>
      <c r="F247" s="30"/>
      <c r="G247" s="44"/>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row>
    <row r="248" ht="12.75" customHeight="1">
      <c r="A248" s="30"/>
      <c r="B248" s="30"/>
      <c r="C248" s="30"/>
      <c r="D248" s="30"/>
      <c r="E248" s="30"/>
      <c r="F248" s="30"/>
      <c r="G248" s="44"/>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row>
    <row r="249" ht="12.75" customHeight="1">
      <c r="A249" s="30"/>
      <c r="B249" s="30"/>
      <c r="C249" s="30"/>
      <c r="D249" s="30"/>
      <c r="E249" s="30"/>
      <c r="F249" s="30"/>
      <c r="G249" s="44"/>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row>
    <row r="250" ht="12.75" customHeight="1">
      <c r="A250" s="30"/>
      <c r="B250" s="30"/>
      <c r="C250" s="30"/>
      <c r="D250" s="30"/>
      <c r="E250" s="30"/>
      <c r="F250" s="30"/>
      <c r="G250" s="44"/>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row>
    <row r="251" ht="12.75" customHeight="1">
      <c r="A251" s="30"/>
      <c r="B251" s="30"/>
      <c r="C251" s="30"/>
      <c r="D251" s="30"/>
      <c r="E251" s="30"/>
      <c r="F251" s="30"/>
      <c r="G251" s="44"/>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row>
    <row r="252" ht="12.75" customHeight="1">
      <c r="A252" s="30"/>
      <c r="B252" s="30"/>
      <c r="C252" s="30"/>
      <c r="D252" s="30"/>
      <c r="E252" s="30"/>
      <c r="F252" s="30"/>
      <c r="G252" s="44"/>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row>
    <row r="253" ht="12.75" customHeight="1">
      <c r="A253" s="30"/>
      <c r="B253" s="30"/>
      <c r="C253" s="30"/>
      <c r="D253" s="30"/>
      <c r="E253" s="30"/>
      <c r="F253" s="30"/>
      <c r="G253" s="44"/>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row>
    <row r="254" ht="12.75" customHeight="1">
      <c r="A254" s="30"/>
      <c r="B254" s="30"/>
      <c r="C254" s="30"/>
      <c r="D254" s="30"/>
      <c r="E254" s="30"/>
      <c r="F254" s="30"/>
      <c r="G254" s="44"/>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row>
    <row r="255" ht="12.75" customHeight="1">
      <c r="A255" s="30"/>
      <c r="B255" s="30"/>
      <c r="C255" s="30"/>
      <c r="D255" s="30"/>
      <c r="E255" s="30"/>
      <c r="F255" s="30"/>
      <c r="G255" s="44"/>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row>
    <row r="256" ht="12.75" customHeight="1">
      <c r="A256" s="30"/>
      <c r="B256" s="30"/>
      <c r="C256" s="30"/>
      <c r="D256" s="30"/>
      <c r="E256" s="30"/>
      <c r="F256" s="30"/>
      <c r="G256" s="44"/>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row>
    <row r="257" ht="12.75" customHeight="1">
      <c r="A257" s="30"/>
      <c r="B257" s="30"/>
      <c r="C257" s="30"/>
      <c r="D257" s="30"/>
      <c r="E257" s="30"/>
      <c r="F257" s="30"/>
      <c r="G257" s="44"/>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row>
    <row r="258" ht="12.75" customHeight="1">
      <c r="A258" s="30"/>
      <c r="B258" s="30"/>
      <c r="C258" s="30"/>
      <c r="D258" s="30"/>
      <c r="E258" s="30"/>
      <c r="F258" s="30"/>
      <c r="G258" s="44"/>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row>
    <row r="259" ht="12.75" customHeight="1">
      <c r="A259" s="30"/>
      <c r="B259" s="30"/>
      <c r="C259" s="30"/>
      <c r="D259" s="30"/>
      <c r="E259" s="30"/>
      <c r="F259" s="30"/>
      <c r="G259" s="44"/>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row>
    <row r="260" ht="12.75" customHeight="1">
      <c r="A260" s="30"/>
      <c r="B260" s="30"/>
      <c r="C260" s="30"/>
      <c r="D260" s="30"/>
      <c r="E260" s="30"/>
      <c r="F260" s="30"/>
      <c r="G260" s="44"/>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row>
    <row r="261" ht="12.75" customHeight="1">
      <c r="A261" s="30"/>
      <c r="B261" s="30"/>
      <c r="C261" s="30"/>
      <c r="D261" s="30"/>
      <c r="E261" s="30"/>
      <c r="F261" s="30"/>
      <c r="G261" s="44"/>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row>
    <row r="262" ht="12.75" customHeight="1">
      <c r="A262" s="30"/>
      <c r="B262" s="30"/>
      <c r="C262" s="30"/>
      <c r="D262" s="30"/>
      <c r="E262" s="30"/>
      <c r="F262" s="30"/>
      <c r="G262" s="44"/>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row>
    <row r="263" ht="12.75" customHeight="1">
      <c r="A263" s="30"/>
      <c r="B263" s="30"/>
      <c r="C263" s="30"/>
      <c r="D263" s="30"/>
      <c r="E263" s="30"/>
      <c r="F263" s="30"/>
      <c r="G263" s="44"/>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row>
    <row r="264" ht="12.75" customHeight="1">
      <c r="A264" s="30"/>
      <c r="B264" s="30"/>
      <c r="C264" s="30"/>
      <c r="D264" s="30"/>
      <c r="E264" s="30"/>
      <c r="F264" s="30"/>
      <c r="G264" s="44"/>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row>
    <row r="265" ht="12.75" customHeight="1">
      <c r="A265" s="30"/>
      <c r="B265" s="30"/>
      <c r="C265" s="30"/>
      <c r="D265" s="30"/>
      <c r="E265" s="30"/>
      <c r="F265" s="30"/>
      <c r="G265" s="44"/>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row>
    <row r="266" ht="12.75" customHeight="1">
      <c r="A266" s="30"/>
      <c r="B266" s="30"/>
      <c r="C266" s="30"/>
      <c r="D266" s="30"/>
      <c r="E266" s="30"/>
      <c r="F266" s="30"/>
      <c r="G266" s="44"/>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row>
    <row r="267" ht="12.75" customHeight="1">
      <c r="A267" s="30"/>
      <c r="B267" s="30"/>
      <c r="C267" s="30"/>
      <c r="D267" s="30"/>
      <c r="E267" s="30"/>
      <c r="F267" s="30"/>
      <c r="G267" s="44"/>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row>
    <row r="268" ht="12.75" customHeight="1">
      <c r="A268" s="30"/>
      <c r="B268" s="30"/>
      <c r="C268" s="30"/>
      <c r="D268" s="30"/>
      <c r="E268" s="30"/>
      <c r="F268" s="30"/>
      <c r="G268" s="44"/>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row>
    <row r="269" ht="12.75" customHeight="1">
      <c r="A269" s="30"/>
      <c r="B269" s="30"/>
      <c r="C269" s="30"/>
      <c r="D269" s="30"/>
      <c r="E269" s="30"/>
      <c r="F269" s="30"/>
      <c r="G269" s="44"/>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row>
    <row r="270" ht="12.75" customHeight="1">
      <c r="A270" s="30"/>
      <c r="B270" s="30"/>
      <c r="C270" s="30"/>
      <c r="D270" s="30"/>
      <c r="E270" s="30"/>
      <c r="F270" s="30"/>
      <c r="G270" s="44"/>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row>
    <row r="271" ht="12.75" customHeight="1">
      <c r="A271" s="30"/>
      <c r="B271" s="30"/>
      <c r="C271" s="30"/>
      <c r="D271" s="30"/>
      <c r="E271" s="30"/>
      <c r="F271" s="30"/>
      <c r="G271" s="44"/>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row>
    <row r="272" ht="12.75" customHeight="1">
      <c r="A272" s="30"/>
      <c r="B272" s="30"/>
      <c r="C272" s="30"/>
      <c r="D272" s="30"/>
      <c r="E272" s="30"/>
      <c r="F272" s="30"/>
      <c r="G272" s="44"/>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row>
    <row r="273" ht="12.75" customHeight="1">
      <c r="A273" s="30"/>
      <c r="B273" s="30"/>
      <c r="C273" s="30"/>
      <c r="D273" s="30"/>
      <c r="E273" s="30"/>
      <c r="F273" s="30"/>
      <c r="G273" s="44"/>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row>
    <row r="274" ht="12.75" customHeight="1">
      <c r="A274" s="30"/>
      <c r="B274" s="30"/>
      <c r="C274" s="30"/>
      <c r="D274" s="30"/>
      <c r="E274" s="30"/>
      <c r="F274" s="30"/>
      <c r="G274" s="44"/>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row>
    <row r="275" ht="12.75" customHeight="1">
      <c r="A275" s="30"/>
      <c r="B275" s="30"/>
      <c r="C275" s="30"/>
      <c r="D275" s="30"/>
      <c r="E275" s="30"/>
      <c r="F275" s="30"/>
      <c r="G275" s="44"/>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row>
    <row r="276" ht="12.75" customHeight="1">
      <c r="A276" s="30"/>
      <c r="B276" s="30"/>
      <c r="C276" s="30"/>
      <c r="D276" s="30"/>
      <c r="E276" s="30"/>
      <c r="F276" s="30"/>
      <c r="G276" s="44"/>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row>
    <row r="277" ht="12.75" customHeight="1">
      <c r="A277" s="30"/>
      <c r="B277" s="30"/>
      <c r="C277" s="30"/>
      <c r="D277" s="30"/>
      <c r="E277" s="30"/>
      <c r="F277" s="30"/>
      <c r="G277" s="44"/>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row>
    <row r="278" ht="12.75" customHeight="1">
      <c r="A278" s="30"/>
      <c r="B278" s="30"/>
      <c r="C278" s="30"/>
      <c r="D278" s="30"/>
      <c r="E278" s="30"/>
      <c r="F278" s="30"/>
      <c r="G278" s="44"/>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row>
    <row r="279" ht="12.75" customHeight="1">
      <c r="A279" s="30"/>
      <c r="B279" s="30"/>
      <c r="C279" s="30"/>
      <c r="D279" s="30"/>
      <c r="E279" s="30"/>
      <c r="F279" s="30"/>
      <c r="G279" s="44"/>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row>
    <row r="280" ht="12.75" customHeight="1">
      <c r="A280" s="30"/>
      <c r="B280" s="30"/>
      <c r="C280" s="30"/>
      <c r="D280" s="30"/>
      <c r="E280" s="30"/>
      <c r="F280" s="30"/>
      <c r="G280" s="44"/>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row>
    <row r="281" ht="12.75" customHeight="1">
      <c r="A281" s="30"/>
      <c r="B281" s="30"/>
      <c r="C281" s="30"/>
      <c r="D281" s="30"/>
      <c r="E281" s="30"/>
      <c r="F281" s="30"/>
      <c r="G281" s="44"/>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row>
    <row r="282" ht="12.75" customHeight="1">
      <c r="A282" s="30"/>
      <c r="B282" s="30"/>
      <c r="C282" s="30"/>
      <c r="D282" s="30"/>
      <c r="E282" s="30"/>
      <c r="F282" s="30"/>
      <c r="G282" s="44"/>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row>
    <row r="283" ht="12.75" customHeight="1">
      <c r="A283" s="30"/>
      <c r="B283" s="30"/>
      <c r="C283" s="30"/>
      <c r="D283" s="30"/>
      <c r="E283" s="30"/>
      <c r="F283" s="30"/>
      <c r="G283" s="44"/>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row>
    <row r="284" ht="12.75" customHeight="1">
      <c r="A284" s="30"/>
      <c r="B284" s="30"/>
      <c r="C284" s="30"/>
      <c r="D284" s="30"/>
      <c r="E284" s="30"/>
      <c r="F284" s="30"/>
      <c r="G284" s="44"/>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row>
    <row r="285" ht="12.75" customHeight="1">
      <c r="A285" s="30"/>
      <c r="B285" s="30"/>
      <c r="C285" s="30"/>
      <c r="D285" s="30"/>
      <c r="E285" s="30"/>
      <c r="F285" s="30"/>
      <c r="G285" s="44"/>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row>
    <row r="286" ht="12.75" customHeight="1">
      <c r="A286" s="30"/>
      <c r="B286" s="30"/>
      <c r="C286" s="30"/>
      <c r="D286" s="30"/>
      <c r="E286" s="30"/>
      <c r="F286" s="30"/>
      <c r="G286" s="44"/>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row>
    <row r="287" ht="12.75" customHeight="1">
      <c r="A287" s="30"/>
      <c r="B287" s="30"/>
      <c r="C287" s="30"/>
      <c r="D287" s="30"/>
      <c r="E287" s="30"/>
      <c r="F287" s="30"/>
      <c r="G287" s="44"/>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row>
    <row r="288" ht="12.75" customHeight="1">
      <c r="A288" s="30"/>
      <c r="B288" s="30"/>
      <c r="C288" s="30"/>
      <c r="D288" s="30"/>
      <c r="E288" s="30"/>
      <c r="F288" s="30"/>
      <c r="G288" s="44"/>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row>
    <row r="289" ht="12.75" customHeight="1">
      <c r="A289" s="30"/>
      <c r="B289" s="30"/>
      <c r="C289" s="30"/>
      <c r="D289" s="30"/>
      <c r="E289" s="30"/>
      <c r="F289" s="30"/>
      <c r="G289" s="44"/>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row>
    <row r="290" ht="12.75" customHeight="1">
      <c r="A290" s="30"/>
      <c r="B290" s="30"/>
      <c r="C290" s="30"/>
      <c r="D290" s="30"/>
      <c r="E290" s="30"/>
      <c r="F290" s="30"/>
      <c r="G290" s="44"/>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row>
    <row r="291" ht="12.75" customHeight="1">
      <c r="A291" s="30"/>
      <c r="B291" s="30"/>
      <c r="C291" s="30"/>
      <c r="D291" s="30"/>
      <c r="E291" s="30"/>
      <c r="F291" s="30"/>
      <c r="G291" s="44"/>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row>
    <row r="292" ht="12.75" customHeight="1">
      <c r="A292" s="30"/>
      <c r="B292" s="30"/>
      <c r="C292" s="30"/>
      <c r="D292" s="30"/>
      <c r="E292" s="30"/>
      <c r="F292" s="30"/>
      <c r="G292" s="44"/>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row>
    <row r="293" ht="12.75" customHeight="1">
      <c r="A293" s="30"/>
      <c r="B293" s="30"/>
      <c r="C293" s="30"/>
      <c r="D293" s="30"/>
      <c r="E293" s="30"/>
      <c r="F293" s="30"/>
      <c r="G293" s="44"/>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row>
    <row r="294" ht="12.75" customHeight="1">
      <c r="A294" s="30"/>
      <c r="B294" s="30"/>
      <c r="C294" s="30"/>
      <c r="D294" s="30"/>
      <c r="E294" s="30"/>
      <c r="F294" s="30"/>
      <c r="G294" s="44"/>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row>
    <row r="295" ht="12.75" customHeight="1">
      <c r="A295" s="30"/>
      <c r="B295" s="30"/>
      <c r="C295" s="30"/>
      <c r="D295" s="30"/>
      <c r="E295" s="30"/>
      <c r="F295" s="30"/>
      <c r="G295" s="44"/>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row>
    <row r="296" ht="12.75" customHeight="1">
      <c r="A296" s="30"/>
      <c r="B296" s="30"/>
      <c r="C296" s="30"/>
      <c r="D296" s="30"/>
      <c r="E296" s="30"/>
      <c r="F296" s="30"/>
      <c r="G296" s="44"/>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row>
    <row r="297" ht="12.75" customHeight="1">
      <c r="A297" s="30"/>
      <c r="B297" s="30"/>
      <c r="C297" s="30"/>
      <c r="D297" s="30"/>
      <c r="E297" s="30"/>
      <c r="F297" s="30"/>
      <c r="G297" s="44"/>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row>
    <row r="298" ht="12.75" customHeight="1">
      <c r="A298" s="30"/>
      <c r="B298" s="30"/>
      <c r="C298" s="30"/>
      <c r="D298" s="30"/>
      <c r="E298" s="30"/>
      <c r="F298" s="30"/>
      <c r="G298" s="44"/>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row>
    <row r="299" ht="12.75" customHeight="1">
      <c r="A299" s="30"/>
      <c r="B299" s="30"/>
      <c r="C299" s="30"/>
      <c r="D299" s="30"/>
      <c r="E299" s="30"/>
      <c r="F299" s="30"/>
      <c r="G299" s="44"/>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row>
    <row r="300" ht="12.75" customHeight="1">
      <c r="A300" s="30"/>
      <c r="B300" s="30"/>
      <c r="C300" s="30"/>
      <c r="D300" s="30"/>
      <c r="E300" s="30"/>
      <c r="F300" s="30"/>
      <c r="G300" s="44"/>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row>
    <row r="301" ht="12.75" customHeight="1">
      <c r="A301" s="30"/>
      <c r="B301" s="30"/>
      <c r="C301" s="30"/>
      <c r="D301" s="30"/>
      <c r="E301" s="30"/>
      <c r="F301" s="30"/>
      <c r="G301" s="44"/>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row>
    <row r="302" ht="12.75" customHeight="1">
      <c r="A302" s="30"/>
      <c r="B302" s="30"/>
      <c r="C302" s="30"/>
      <c r="D302" s="30"/>
      <c r="E302" s="30"/>
      <c r="F302" s="30"/>
      <c r="G302" s="44"/>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row>
    <row r="303" ht="12.75" customHeight="1">
      <c r="A303" s="30"/>
      <c r="B303" s="30"/>
      <c r="C303" s="30"/>
      <c r="D303" s="30"/>
      <c r="E303" s="30"/>
      <c r="F303" s="30"/>
      <c r="G303" s="44"/>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row>
    <row r="304" ht="12.75" customHeight="1">
      <c r="A304" s="30"/>
      <c r="B304" s="30"/>
      <c r="C304" s="30"/>
      <c r="D304" s="30"/>
      <c r="E304" s="30"/>
      <c r="F304" s="30"/>
      <c r="G304" s="44"/>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row>
    <row r="305" ht="12.75" customHeight="1">
      <c r="A305" s="30"/>
      <c r="B305" s="30"/>
      <c r="C305" s="30"/>
      <c r="D305" s="30"/>
      <c r="E305" s="30"/>
      <c r="F305" s="30"/>
      <c r="G305" s="44"/>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row>
    <row r="306" ht="12.75" customHeight="1">
      <c r="A306" s="30"/>
      <c r="B306" s="30"/>
      <c r="C306" s="30"/>
      <c r="D306" s="30"/>
      <c r="E306" s="30"/>
      <c r="F306" s="30"/>
      <c r="G306" s="44"/>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row>
    <row r="307" ht="12.75" customHeight="1">
      <c r="A307" s="30"/>
      <c r="B307" s="30"/>
      <c r="C307" s="30"/>
      <c r="D307" s="30"/>
      <c r="E307" s="30"/>
      <c r="F307" s="30"/>
      <c r="G307" s="44"/>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row>
    <row r="308" ht="12.75" customHeight="1">
      <c r="A308" s="30"/>
      <c r="B308" s="30"/>
      <c r="C308" s="30"/>
      <c r="D308" s="30"/>
      <c r="E308" s="30"/>
      <c r="F308" s="30"/>
      <c r="G308" s="44"/>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row>
    <row r="309" ht="12.75" customHeight="1">
      <c r="A309" s="30"/>
      <c r="B309" s="30"/>
      <c r="C309" s="30"/>
      <c r="D309" s="30"/>
      <c r="E309" s="30"/>
      <c r="F309" s="30"/>
      <c r="G309" s="44"/>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row>
    <row r="310" ht="12.75" customHeight="1">
      <c r="A310" s="30"/>
      <c r="B310" s="30"/>
      <c r="C310" s="30"/>
      <c r="D310" s="30"/>
      <c r="E310" s="30"/>
      <c r="F310" s="30"/>
      <c r="G310" s="44"/>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row>
    <row r="311" ht="12.75" customHeight="1">
      <c r="A311" s="30"/>
      <c r="B311" s="30"/>
      <c r="C311" s="30"/>
      <c r="D311" s="30"/>
      <c r="E311" s="30"/>
      <c r="F311" s="30"/>
      <c r="G311" s="44"/>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row>
    <row r="312" ht="12.75" customHeight="1">
      <c r="A312" s="30"/>
      <c r="B312" s="30"/>
      <c r="C312" s="30"/>
      <c r="D312" s="30"/>
      <c r="E312" s="30"/>
      <c r="F312" s="30"/>
      <c r="G312" s="44"/>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row>
    <row r="313" ht="12.75" customHeight="1">
      <c r="A313" s="30"/>
      <c r="B313" s="30"/>
      <c r="C313" s="30"/>
      <c r="D313" s="30"/>
      <c r="E313" s="30"/>
      <c r="F313" s="30"/>
      <c r="G313" s="44"/>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row>
    <row r="314" ht="12.75" customHeight="1">
      <c r="A314" s="30"/>
      <c r="B314" s="30"/>
      <c r="C314" s="30"/>
      <c r="D314" s="30"/>
      <c r="E314" s="30"/>
      <c r="F314" s="30"/>
      <c r="G314" s="44"/>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row>
    <row r="315" ht="12.75" customHeight="1">
      <c r="A315" s="30"/>
      <c r="B315" s="30"/>
      <c r="C315" s="30"/>
      <c r="D315" s="30"/>
      <c r="E315" s="30"/>
      <c r="F315" s="30"/>
      <c r="G315" s="44"/>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row>
    <row r="316" ht="12.75" customHeight="1">
      <c r="A316" s="30"/>
      <c r="B316" s="30"/>
      <c r="C316" s="30"/>
      <c r="D316" s="30"/>
      <c r="E316" s="30"/>
      <c r="F316" s="30"/>
      <c r="G316" s="44"/>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row>
    <row r="317" ht="12.75" customHeight="1">
      <c r="A317" s="30"/>
      <c r="B317" s="30"/>
      <c r="C317" s="30"/>
      <c r="D317" s="30"/>
      <c r="E317" s="30"/>
      <c r="F317" s="30"/>
      <c r="G317" s="44"/>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row>
    <row r="318" ht="12.75" customHeight="1">
      <c r="A318" s="30"/>
      <c r="B318" s="30"/>
      <c r="C318" s="30"/>
      <c r="D318" s="30"/>
      <c r="E318" s="30"/>
      <c r="F318" s="30"/>
      <c r="G318" s="44"/>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row>
    <row r="319" ht="12.75" customHeight="1">
      <c r="A319" s="30"/>
      <c r="B319" s="30"/>
      <c r="C319" s="30"/>
      <c r="D319" s="30"/>
      <c r="E319" s="30"/>
      <c r="F319" s="30"/>
      <c r="G319" s="44"/>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row>
    <row r="320" ht="12.75" customHeight="1">
      <c r="A320" s="30"/>
      <c r="B320" s="30"/>
      <c r="C320" s="30"/>
      <c r="D320" s="30"/>
      <c r="E320" s="30"/>
      <c r="F320" s="30"/>
      <c r="G320" s="44"/>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row>
    <row r="321" ht="12.75" customHeight="1">
      <c r="A321" s="30"/>
      <c r="B321" s="30"/>
      <c r="C321" s="30"/>
      <c r="D321" s="30"/>
      <c r="E321" s="30"/>
      <c r="F321" s="30"/>
      <c r="G321" s="44"/>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row>
    <row r="322" ht="12.75" customHeight="1">
      <c r="A322" s="30"/>
      <c r="B322" s="30"/>
      <c r="C322" s="30"/>
      <c r="D322" s="30"/>
      <c r="E322" s="30"/>
      <c r="F322" s="30"/>
      <c r="G322" s="44"/>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row>
    <row r="323" ht="12.75" customHeight="1">
      <c r="A323" s="30"/>
      <c r="B323" s="30"/>
      <c r="C323" s="30"/>
      <c r="D323" s="30"/>
      <c r="E323" s="30"/>
      <c r="F323" s="30"/>
      <c r="G323" s="44"/>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row>
    <row r="324" ht="12.75" customHeight="1">
      <c r="A324" s="30"/>
      <c r="B324" s="30"/>
      <c r="C324" s="30"/>
      <c r="D324" s="30"/>
      <c r="E324" s="30"/>
      <c r="F324" s="30"/>
      <c r="G324" s="44"/>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row>
    <row r="325" ht="12.75" customHeight="1">
      <c r="A325" s="30"/>
      <c r="B325" s="30"/>
      <c r="C325" s="30"/>
      <c r="D325" s="30"/>
      <c r="E325" s="30"/>
      <c r="F325" s="30"/>
      <c r="G325" s="44"/>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row>
    <row r="326" ht="12.75" customHeight="1">
      <c r="A326" s="30"/>
      <c r="B326" s="30"/>
      <c r="C326" s="30"/>
      <c r="D326" s="30"/>
      <c r="E326" s="30"/>
      <c r="F326" s="30"/>
      <c r="G326" s="44"/>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row>
    <row r="327" ht="12.75" customHeight="1">
      <c r="A327" s="30"/>
      <c r="B327" s="30"/>
      <c r="C327" s="30"/>
      <c r="D327" s="30"/>
      <c r="E327" s="30"/>
      <c r="F327" s="30"/>
      <c r="G327" s="44"/>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row>
    <row r="328" ht="12.75" customHeight="1">
      <c r="A328" s="30"/>
      <c r="B328" s="30"/>
      <c r="C328" s="30"/>
      <c r="D328" s="30"/>
      <c r="E328" s="30"/>
      <c r="F328" s="30"/>
      <c r="G328" s="44"/>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row>
    <row r="329" ht="12.75" customHeight="1">
      <c r="A329" s="30"/>
      <c r="B329" s="30"/>
      <c r="C329" s="30"/>
      <c r="D329" s="30"/>
      <c r="E329" s="30"/>
      <c r="F329" s="30"/>
      <c r="G329" s="44"/>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row>
    <row r="330" ht="12.75" customHeight="1">
      <c r="A330" s="30"/>
      <c r="B330" s="30"/>
      <c r="C330" s="30"/>
      <c r="D330" s="30"/>
      <c r="E330" s="30"/>
      <c r="F330" s="30"/>
      <c r="G330" s="44"/>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row>
    <row r="331" ht="12.75" customHeight="1">
      <c r="A331" s="30"/>
      <c r="B331" s="30"/>
      <c r="C331" s="30"/>
      <c r="D331" s="30"/>
      <c r="E331" s="30"/>
      <c r="F331" s="30"/>
      <c r="G331" s="44"/>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row>
    <row r="332" ht="12.75" customHeight="1">
      <c r="A332" s="30"/>
      <c r="B332" s="30"/>
      <c r="C332" s="30"/>
      <c r="D332" s="30"/>
      <c r="E332" s="30"/>
      <c r="F332" s="30"/>
      <c r="G332" s="44"/>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row>
    <row r="333" ht="12.75" customHeight="1">
      <c r="A333" s="30"/>
      <c r="B333" s="30"/>
      <c r="C333" s="30"/>
      <c r="D333" s="30"/>
      <c r="E333" s="30"/>
      <c r="F333" s="30"/>
      <c r="G333" s="44"/>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row>
    <row r="334" ht="12.75" customHeight="1">
      <c r="A334" s="30"/>
      <c r="B334" s="30"/>
      <c r="C334" s="30"/>
      <c r="D334" s="30"/>
      <c r="E334" s="30"/>
      <c r="F334" s="30"/>
      <c r="G334" s="44"/>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row>
    <row r="335" ht="12.75" customHeight="1">
      <c r="A335" s="30"/>
      <c r="B335" s="30"/>
      <c r="C335" s="30"/>
      <c r="D335" s="30"/>
      <c r="E335" s="30"/>
      <c r="F335" s="30"/>
      <c r="G335" s="44"/>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row>
    <row r="336" ht="12.75" customHeight="1">
      <c r="A336" s="30"/>
      <c r="B336" s="30"/>
      <c r="C336" s="30"/>
      <c r="D336" s="30"/>
      <c r="E336" s="30"/>
      <c r="F336" s="30"/>
      <c r="G336" s="44"/>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row>
    <row r="337" ht="12.75" customHeight="1">
      <c r="A337" s="30"/>
      <c r="B337" s="30"/>
      <c r="C337" s="30"/>
      <c r="D337" s="30"/>
      <c r="E337" s="30"/>
      <c r="F337" s="30"/>
      <c r="G337" s="44"/>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row>
    <row r="338" ht="12.75" customHeight="1">
      <c r="A338" s="30"/>
      <c r="B338" s="30"/>
      <c r="C338" s="30"/>
      <c r="D338" s="30"/>
      <c r="E338" s="30"/>
      <c r="F338" s="30"/>
      <c r="G338" s="44"/>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row>
    <row r="339" ht="12.75" customHeight="1">
      <c r="A339" s="30"/>
      <c r="B339" s="30"/>
      <c r="C339" s="30"/>
      <c r="D339" s="30"/>
      <c r="E339" s="30"/>
      <c r="F339" s="30"/>
      <c r="G339" s="44"/>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row>
    <row r="340" ht="12.75" customHeight="1">
      <c r="A340" s="30"/>
      <c r="B340" s="30"/>
      <c r="C340" s="30"/>
      <c r="D340" s="30"/>
      <c r="E340" s="30"/>
      <c r="F340" s="30"/>
      <c r="G340" s="44"/>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row>
    <row r="341" ht="12.75" customHeight="1">
      <c r="A341" s="30"/>
      <c r="B341" s="30"/>
      <c r="C341" s="30"/>
      <c r="D341" s="30"/>
      <c r="E341" s="30"/>
      <c r="F341" s="30"/>
      <c r="G341" s="44"/>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row>
    <row r="342" ht="12.75" customHeight="1">
      <c r="A342" s="30"/>
      <c r="B342" s="30"/>
      <c r="C342" s="30"/>
      <c r="D342" s="30"/>
      <c r="E342" s="30"/>
      <c r="F342" s="30"/>
      <c r="G342" s="44"/>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row>
    <row r="343" ht="12.75" customHeight="1">
      <c r="A343" s="30"/>
      <c r="B343" s="30"/>
      <c r="C343" s="30"/>
      <c r="D343" s="30"/>
      <c r="E343" s="30"/>
      <c r="F343" s="30"/>
      <c r="G343" s="44"/>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row>
    <row r="344" ht="12.75" customHeight="1">
      <c r="A344" s="30"/>
      <c r="B344" s="30"/>
      <c r="C344" s="30"/>
      <c r="D344" s="30"/>
      <c r="E344" s="30"/>
      <c r="F344" s="30"/>
      <c r="G344" s="44"/>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row>
    <row r="345" ht="12.75" customHeight="1">
      <c r="A345" s="30"/>
      <c r="B345" s="30"/>
      <c r="C345" s="30"/>
      <c r="D345" s="30"/>
      <c r="E345" s="30"/>
      <c r="F345" s="30"/>
      <c r="G345" s="44"/>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row>
    <row r="346" ht="12.75" customHeight="1">
      <c r="A346" s="30"/>
      <c r="B346" s="30"/>
      <c r="C346" s="30"/>
      <c r="D346" s="30"/>
      <c r="E346" s="30"/>
      <c r="F346" s="30"/>
      <c r="G346" s="44"/>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row>
    <row r="347" ht="12.75" customHeight="1">
      <c r="A347" s="30"/>
      <c r="B347" s="30"/>
      <c r="C347" s="30"/>
      <c r="D347" s="30"/>
      <c r="E347" s="30"/>
      <c r="F347" s="30"/>
      <c r="G347" s="44"/>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row>
    <row r="348" ht="12.75" customHeight="1">
      <c r="A348" s="30"/>
      <c r="B348" s="30"/>
      <c r="C348" s="30"/>
      <c r="D348" s="30"/>
      <c r="E348" s="30"/>
      <c r="F348" s="30"/>
      <c r="G348" s="44"/>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row>
    <row r="349" ht="12.75" customHeight="1">
      <c r="A349" s="30"/>
      <c r="B349" s="30"/>
      <c r="C349" s="30"/>
      <c r="D349" s="30"/>
      <c r="E349" s="30"/>
      <c r="F349" s="30"/>
      <c r="G349" s="44"/>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row>
    <row r="350" ht="12.75" customHeight="1">
      <c r="A350" s="30"/>
      <c r="B350" s="30"/>
      <c r="C350" s="30"/>
      <c r="D350" s="30"/>
      <c r="E350" s="30"/>
      <c r="F350" s="30"/>
      <c r="G350" s="44"/>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row>
    <row r="351" ht="12.75" customHeight="1">
      <c r="A351" s="30"/>
      <c r="B351" s="30"/>
      <c r="C351" s="30"/>
      <c r="D351" s="30"/>
      <c r="E351" s="30"/>
      <c r="F351" s="30"/>
      <c r="G351" s="44"/>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row>
    <row r="352" ht="12.75" customHeight="1">
      <c r="A352" s="30"/>
      <c r="B352" s="30"/>
      <c r="C352" s="30"/>
      <c r="D352" s="30"/>
      <c r="E352" s="30"/>
      <c r="F352" s="30"/>
      <c r="G352" s="44"/>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row>
    <row r="353" ht="12.75" customHeight="1">
      <c r="A353" s="30"/>
      <c r="B353" s="30"/>
      <c r="C353" s="30"/>
      <c r="D353" s="30"/>
      <c r="E353" s="30"/>
      <c r="F353" s="30"/>
      <c r="G353" s="44"/>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row>
    <row r="354" ht="12.75" customHeight="1">
      <c r="A354" s="30"/>
      <c r="B354" s="30"/>
      <c r="C354" s="30"/>
      <c r="D354" s="30"/>
      <c r="E354" s="30"/>
      <c r="F354" s="30"/>
      <c r="G354" s="44"/>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row>
    <row r="355" ht="12.75" customHeight="1">
      <c r="A355" s="30"/>
      <c r="B355" s="30"/>
      <c r="C355" s="30"/>
      <c r="D355" s="30"/>
      <c r="E355" s="30"/>
      <c r="F355" s="30"/>
      <c r="G355" s="44"/>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row>
    <row r="356" ht="12.75" customHeight="1">
      <c r="A356" s="30"/>
      <c r="B356" s="30"/>
      <c r="C356" s="30"/>
      <c r="D356" s="30"/>
      <c r="E356" s="30"/>
      <c r="F356" s="30"/>
      <c r="G356" s="44"/>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row>
    <row r="357" ht="12.75" customHeight="1">
      <c r="A357" s="30"/>
      <c r="B357" s="30"/>
      <c r="C357" s="30"/>
      <c r="D357" s="30"/>
      <c r="E357" s="30"/>
      <c r="F357" s="30"/>
      <c r="G357" s="44"/>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row>
    <row r="358" ht="12.75" customHeight="1">
      <c r="A358" s="30"/>
      <c r="B358" s="30"/>
      <c r="C358" s="30"/>
      <c r="D358" s="30"/>
      <c r="E358" s="30"/>
      <c r="F358" s="30"/>
      <c r="G358" s="44"/>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row>
    <row r="359" ht="12.75" customHeight="1">
      <c r="A359" s="30"/>
      <c r="B359" s="30"/>
      <c r="C359" s="30"/>
      <c r="D359" s="30"/>
      <c r="E359" s="30"/>
      <c r="F359" s="30"/>
      <c r="G359" s="44"/>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row>
    <row r="360" ht="12.75" customHeight="1">
      <c r="A360" s="30"/>
      <c r="B360" s="30"/>
      <c r="C360" s="30"/>
      <c r="D360" s="30"/>
      <c r="E360" s="30"/>
      <c r="F360" s="30"/>
      <c r="G360" s="44"/>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row>
    <row r="361" ht="12.75" customHeight="1">
      <c r="A361" s="30"/>
      <c r="B361" s="30"/>
      <c r="C361" s="30"/>
      <c r="D361" s="30"/>
      <c r="E361" s="30"/>
      <c r="F361" s="30"/>
      <c r="G361" s="44"/>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row>
    <row r="362" ht="12.75" customHeight="1">
      <c r="A362" s="30"/>
      <c r="B362" s="30"/>
      <c r="C362" s="30"/>
      <c r="D362" s="30"/>
      <c r="E362" s="30"/>
      <c r="F362" s="30"/>
      <c r="G362" s="44"/>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row>
    <row r="363" ht="12.75" customHeight="1">
      <c r="A363" s="30"/>
      <c r="B363" s="30"/>
      <c r="C363" s="30"/>
      <c r="D363" s="30"/>
      <c r="E363" s="30"/>
      <c r="F363" s="30"/>
      <c r="G363" s="44"/>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row>
    <row r="364" ht="12.75" customHeight="1">
      <c r="A364" s="30"/>
      <c r="B364" s="30"/>
      <c r="C364" s="30"/>
      <c r="D364" s="30"/>
      <c r="E364" s="30"/>
      <c r="F364" s="30"/>
      <c r="G364" s="44"/>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row>
    <row r="365" ht="12.75" customHeight="1">
      <c r="A365" s="30"/>
      <c r="B365" s="30"/>
      <c r="C365" s="30"/>
      <c r="D365" s="30"/>
      <c r="E365" s="30"/>
      <c r="F365" s="30"/>
      <c r="G365" s="44"/>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row>
    <row r="366" ht="12.75" customHeight="1">
      <c r="A366" s="30"/>
      <c r="B366" s="30"/>
      <c r="C366" s="30"/>
      <c r="D366" s="30"/>
      <c r="E366" s="30"/>
      <c r="F366" s="30"/>
      <c r="G366" s="44"/>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row>
    <row r="367" ht="12.75" customHeight="1">
      <c r="A367" s="30"/>
      <c r="B367" s="30"/>
      <c r="C367" s="30"/>
      <c r="D367" s="30"/>
      <c r="E367" s="30"/>
      <c r="F367" s="30"/>
      <c r="G367" s="44"/>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row>
    <row r="368" ht="12.75" customHeight="1">
      <c r="A368" s="30"/>
      <c r="B368" s="30"/>
      <c r="C368" s="30"/>
      <c r="D368" s="30"/>
      <c r="E368" s="30"/>
      <c r="F368" s="30"/>
      <c r="G368" s="44"/>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row>
    <row r="369" ht="12.75" customHeight="1">
      <c r="A369" s="30"/>
      <c r="B369" s="30"/>
      <c r="C369" s="30"/>
      <c r="D369" s="30"/>
      <c r="E369" s="30"/>
      <c r="F369" s="30"/>
      <c r="G369" s="44"/>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row>
    <row r="370" ht="12.75" customHeight="1">
      <c r="A370" s="30"/>
      <c r="B370" s="30"/>
      <c r="C370" s="30"/>
      <c r="D370" s="30"/>
      <c r="E370" s="30"/>
      <c r="F370" s="30"/>
      <c r="G370" s="44"/>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row>
    <row r="371" ht="12.75" customHeight="1">
      <c r="A371" s="30"/>
      <c r="B371" s="30"/>
      <c r="C371" s="30"/>
      <c r="D371" s="30"/>
      <c r="E371" s="30"/>
      <c r="F371" s="30"/>
      <c r="G371" s="44"/>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row>
    <row r="372" ht="12.75" customHeight="1">
      <c r="A372" s="30"/>
      <c r="B372" s="30"/>
      <c r="C372" s="30"/>
      <c r="D372" s="30"/>
      <c r="E372" s="30"/>
      <c r="F372" s="30"/>
      <c r="G372" s="44"/>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row>
    <row r="373" ht="12.75" customHeight="1">
      <c r="A373" s="30"/>
      <c r="B373" s="30"/>
      <c r="C373" s="30"/>
      <c r="D373" s="30"/>
      <c r="E373" s="30"/>
      <c r="F373" s="30"/>
      <c r="G373" s="44"/>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row>
    <row r="374" ht="12.75" customHeight="1">
      <c r="A374" s="30"/>
      <c r="B374" s="30"/>
      <c r="C374" s="30"/>
      <c r="D374" s="30"/>
      <c r="E374" s="30"/>
      <c r="F374" s="30"/>
      <c r="G374" s="44"/>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row>
    <row r="375" ht="12.75" customHeight="1">
      <c r="A375" s="30"/>
      <c r="B375" s="30"/>
      <c r="C375" s="30"/>
      <c r="D375" s="30"/>
      <c r="E375" s="30"/>
      <c r="F375" s="30"/>
      <c r="G375" s="44"/>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row>
    <row r="376" ht="12.75" customHeight="1">
      <c r="A376" s="30"/>
      <c r="B376" s="30"/>
      <c r="C376" s="30"/>
      <c r="D376" s="30"/>
      <c r="E376" s="30"/>
      <c r="F376" s="30"/>
      <c r="G376" s="44"/>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row>
    <row r="377" ht="12.75" customHeight="1">
      <c r="A377" s="30"/>
      <c r="B377" s="30"/>
      <c r="C377" s="30"/>
      <c r="D377" s="30"/>
      <c r="E377" s="30"/>
      <c r="F377" s="30"/>
      <c r="G377" s="44"/>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row>
    <row r="378" ht="12.75" customHeight="1">
      <c r="A378" s="30"/>
      <c r="B378" s="30"/>
      <c r="C378" s="30"/>
      <c r="D378" s="30"/>
      <c r="E378" s="30"/>
      <c r="F378" s="30"/>
      <c r="G378" s="44"/>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row>
    <row r="379" ht="12.75" customHeight="1">
      <c r="A379" s="30"/>
      <c r="B379" s="30"/>
      <c r="C379" s="30"/>
      <c r="D379" s="30"/>
      <c r="E379" s="30"/>
      <c r="F379" s="30"/>
      <c r="G379" s="44"/>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row>
    <row r="380" ht="12.75" customHeight="1">
      <c r="A380" s="30"/>
      <c r="B380" s="30"/>
      <c r="C380" s="30"/>
      <c r="D380" s="30"/>
      <c r="E380" s="30"/>
      <c r="F380" s="30"/>
      <c r="G380" s="44"/>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row>
    <row r="381" ht="12.75" customHeight="1">
      <c r="A381" s="30"/>
      <c r="B381" s="30"/>
      <c r="C381" s="30"/>
      <c r="D381" s="30"/>
      <c r="E381" s="30"/>
      <c r="F381" s="30"/>
      <c r="G381" s="44"/>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row>
    <row r="382" ht="12.75" customHeight="1">
      <c r="A382" s="30"/>
      <c r="B382" s="30"/>
      <c r="C382" s="30"/>
      <c r="D382" s="30"/>
      <c r="E382" s="30"/>
      <c r="F382" s="30"/>
      <c r="G382" s="44"/>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row>
    <row r="383" ht="12.75" customHeight="1">
      <c r="A383" s="30"/>
      <c r="B383" s="30"/>
      <c r="C383" s="30"/>
      <c r="D383" s="30"/>
      <c r="E383" s="30"/>
      <c r="F383" s="30"/>
      <c r="G383" s="44"/>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row>
    <row r="384" ht="12.75" customHeight="1">
      <c r="A384" s="30"/>
      <c r="B384" s="30"/>
      <c r="C384" s="30"/>
      <c r="D384" s="30"/>
      <c r="E384" s="30"/>
      <c r="F384" s="30"/>
      <c r="G384" s="44"/>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row>
    <row r="385" ht="12.75" customHeight="1">
      <c r="A385" s="30"/>
      <c r="B385" s="30"/>
      <c r="C385" s="30"/>
      <c r="D385" s="30"/>
      <c r="E385" s="30"/>
      <c r="F385" s="30"/>
      <c r="G385" s="44"/>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row>
    <row r="386" ht="12.75" customHeight="1">
      <c r="A386" s="30"/>
      <c r="B386" s="30"/>
      <c r="C386" s="30"/>
      <c r="D386" s="30"/>
      <c r="E386" s="30"/>
      <c r="F386" s="30"/>
      <c r="G386" s="44"/>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row>
    <row r="387" ht="12.75" customHeight="1">
      <c r="A387" s="30"/>
      <c r="B387" s="30"/>
      <c r="C387" s="30"/>
      <c r="D387" s="30"/>
      <c r="E387" s="30"/>
      <c r="F387" s="30"/>
      <c r="G387" s="44"/>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row>
    <row r="388" ht="12.75" customHeight="1">
      <c r="A388" s="30"/>
      <c r="B388" s="30"/>
      <c r="C388" s="30"/>
      <c r="D388" s="30"/>
      <c r="E388" s="30"/>
      <c r="F388" s="30"/>
      <c r="G388" s="44"/>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row>
    <row r="389" ht="12.75" customHeight="1">
      <c r="A389" s="30"/>
      <c r="B389" s="30"/>
      <c r="C389" s="30"/>
      <c r="D389" s="30"/>
      <c r="E389" s="30"/>
      <c r="F389" s="30"/>
      <c r="G389" s="44"/>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row>
    <row r="390" ht="12.75" customHeight="1">
      <c r="A390" s="30"/>
      <c r="B390" s="30"/>
      <c r="C390" s="30"/>
      <c r="D390" s="30"/>
      <c r="E390" s="30"/>
      <c r="F390" s="30"/>
      <c r="G390" s="44"/>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row>
    <row r="391" ht="12.75" customHeight="1">
      <c r="A391" s="30"/>
      <c r="B391" s="30"/>
      <c r="C391" s="30"/>
      <c r="D391" s="30"/>
      <c r="E391" s="30"/>
      <c r="F391" s="30"/>
      <c r="G391" s="44"/>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row>
    <row r="392" ht="12.75" customHeight="1">
      <c r="A392" s="30"/>
      <c r="B392" s="30"/>
      <c r="C392" s="30"/>
      <c r="D392" s="30"/>
      <c r="E392" s="30"/>
      <c r="F392" s="30"/>
      <c r="G392" s="44"/>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row>
    <row r="393" ht="12.75" customHeight="1">
      <c r="A393" s="30"/>
      <c r="B393" s="30"/>
      <c r="C393" s="30"/>
      <c r="D393" s="30"/>
      <c r="E393" s="30"/>
      <c r="F393" s="30"/>
      <c r="G393" s="44"/>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row>
    <row r="394" ht="12.75" customHeight="1">
      <c r="A394" s="30"/>
      <c r="B394" s="30"/>
      <c r="C394" s="30"/>
      <c r="D394" s="30"/>
      <c r="E394" s="30"/>
      <c r="F394" s="30"/>
      <c r="G394" s="44"/>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row>
    <row r="395" ht="12.75" customHeight="1">
      <c r="A395" s="30"/>
      <c r="B395" s="30"/>
      <c r="C395" s="30"/>
      <c r="D395" s="30"/>
      <c r="E395" s="30"/>
      <c r="F395" s="30"/>
      <c r="G395" s="44"/>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row>
    <row r="396" ht="12.75" customHeight="1">
      <c r="A396" s="30"/>
      <c r="B396" s="30"/>
      <c r="C396" s="30"/>
      <c r="D396" s="30"/>
      <c r="E396" s="30"/>
      <c r="F396" s="30"/>
      <c r="G396" s="44"/>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row>
    <row r="397" ht="12.75" customHeight="1">
      <c r="A397" s="30"/>
      <c r="B397" s="30"/>
      <c r="C397" s="30"/>
      <c r="D397" s="30"/>
      <c r="E397" s="30"/>
      <c r="F397" s="30"/>
      <c r="G397" s="44"/>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row>
    <row r="398" ht="12.75" customHeight="1">
      <c r="A398" s="30"/>
      <c r="B398" s="30"/>
      <c r="C398" s="30"/>
      <c r="D398" s="30"/>
      <c r="E398" s="30"/>
      <c r="F398" s="30"/>
      <c r="G398" s="44"/>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row>
    <row r="399" ht="12.75" customHeight="1">
      <c r="A399" s="30"/>
      <c r="B399" s="30"/>
      <c r="C399" s="30"/>
      <c r="D399" s="30"/>
      <c r="E399" s="30"/>
      <c r="F399" s="30"/>
      <c r="G399" s="44"/>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row>
    <row r="400" ht="12.75" customHeight="1">
      <c r="A400" s="30"/>
      <c r="B400" s="30"/>
      <c r="C400" s="30"/>
      <c r="D400" s="30"/>
      <c r="E400" s="30"/>
      <c r="F400" s="30"/>
      <c r="G400" s="44"/>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row>
    <row r="401" ht="12.75" customHeight="1">
      <c r="A401" s="30"/>
      <c r="B401" s="30"/>
      <c r="C401" s="30"/>
      <c r="D401" s="30"/>
      <c r="E401" s="30"/>
      <c r="F401" s="30"/>
      <c r="G401" s="44"/>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row>
    <row r="402" ht="12.75" customHeight="1">
      <c r="A402" s="30"/>
      <c r="B402" s="30"/>
      <c r="C402" s="30"/>
      <c r="D402" s="30"/>
      <c r="E402" s="30"/>
      <c r="F402" s="30"/>
      <c r="G402" s="44"/>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row>
    <row r="403" ht="12.75" customHeight="1">
      <c r="A403" s="30"/>
      <c r="B403" s="30"/>
      <c r="C403" s="30"/>
      <c r="D403" s="30"/>
      <c r="E403" s="30"/>
      <c r="F403" s="30"/>
      <c r="G403" s="44"/>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row>
    <row r="404" ht="12.75" customHeight="1">
      <c r="A404" s="30"/>
      <c r="B404" s="30"/>
      <c r="C404" s="30"/>
      <c r="D404" s="30"/>
      <c r="E404" s="30"/>
      <c r="F404" s="30"/>
      <c r="G404" s="44"/>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row>
    <row r="405" ht="12.75" customHeight="1">
      <c r="A405" s="30"/>
      <c r="B405" s="30"/>
      <c r="C405" s="30"/>
      <c r="D405" s="30"/>
      <c r="E405" s="30"/>
      <c r="F405" s="30"/>
      <c r="G405" s="44"/>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row>
    <row r="406" ht="12.75" customHeight="1">
      <c r="A406" s="30"/>
      <c r="B406" s="30"/>
      <c r="C406" s="30"/>
      <c r="D406" s="30"/>
      <c r="E406" s="30"/>
      <c r="F406" s="30"/>
      <c r="G406" s="44"/>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row>
    <row r="407" ht="12.75" customHeight="1">
      <c r="A407" s="30"/>
      <c r="B407" s="30"/>
      <c r="C407" s="30"/>
      <c r="D407" s="30"/>
      <c r="E407" s="30"/>
      <c r="F407" s="30"/>
      <c r="G407" s="44"/>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row>
    <row r="408" ht="12.75" customHeight="1">
      <c r="A408" s="30"/>
      <c r="B408" s="30"/>
      <c r="C408" s="30"/>
      <c r="D408" s="30"/>
      <c r="E408" s="30"/>
      <c r="F408" s="30"/>
      <c r="G408" s="44"/>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row>
    <row r="409" ht="12.75" customHeight="1">
      <c r="A409" s="30"/>
      <c r="B409" s="30"/>
      <c r="C409" s="30"/>
      <c r="D409" s="30"/>
      <c r="E409" s="30"/>
      <c r="F409" s="30"/>
      <c r="G409" s="44"/>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row>
    <row r="410" ht="12.75" customHeight="1">
      <c r="A410" s="30"/>
      <c r="B410" s="30"/>
      <c r="C410" s="30"/>
      <c r="D410" s="30"/>
      <c r="E410" s="30"/>
      <c r="F410" s="30"/>
      <c r="G410" s="44"/>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row>
    <row r="411" ht="12.75" customHeight="1">
      <c r="A411" s="30"/>
      <c r="B411" s="30"/>
      <c r="C411" s="30"/>
      <c r="D411" s="30"/>
      <c r="E411" s="30"/>
      <c r="F411" s="30"/>
      <c r="G411" s="44"/>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row>
    <row r="412" ht="12.75" customHeight="1">
      <c r="A412" s="30"/>
      <c r="B412" s="30"/>
      <c r="C412" s="30"/>
      <c r="D412" s="30"/>
      <c r="E412" s="30"/>
      <c r="F412" s="30"/>
      <c r="G412" s="44"/>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row>
    <row r="413" ht="12.75" customHeight="1">
      <c r="A413" s="30"/>
      <c r="B413" s="30"/>
      <c r="C413" s="30"/>
      <c r="D413" s="30"/>
      <c r="E413" s="30"/>
      <c r="F413" s="30"/>
      <c r="G413" s="44"/>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row>
    <row r="414" ht="12.75" customHeight="1">
      <c r="A414" s="30"/>
      <c r="B414" s="30"/>
      <c r="C414" s="30"/>
      <c r="D414" s="30"/>
      <c r="E414" s="30"/>
      <c r="F414" s="30"/>
      <c r="G414" s="44"/>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row>
    <row r="415" ht="12.75" customHeight="1">
      <c r="A415" s="30"/>
      <c r="B415" s="30"/>
      <c r="C415" s="30"/>
      <c r="D415" s="30"/>
      <c r="E415" s="30"/>
      <c r="F415" s="30"/>
      <c r="G415" s="44"/>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row>
    <row r="416" ht="12.75" customHeight="1">
      <c r="A416" s="30"/>
      <c r="B416" s="30"/>
      <c r="C416" s="30"/>
      <c r="D416" s="30"/>
      <c r="E416" s="30"/>
      <c r="F416" s="30"/>
      <c r="G416" s="44"/>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row>
    <row r="417" ht="12.75" customHeight="1">
      <c r="A417" s="30"/>
      <c r="B417" s="30"/>
      <c r="C417" s="30"/>
      <c r="D417" s="30"/>
      <c r="E417" s="30"/>
      <c r="F417" s="30"/>
      <c r="G417" s="44"/>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row>
    <row r="418" ht="12.75" customHeight="1">
      <c r="A418" s="30"/>
      <c r="B418" s="30"/>
      <c r="C418" s="30"/>
      <c r="D418" s="30"/>
      <c r="E418" s="30"/>
      <c r="F418" s="30"/>
      <c r="G418" s="44"/>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row>
    <row r="419" ht="12.75" customHeight="1">
      <c r="A419" s="30"/>
      <c r="B419" s="30"/>
      <c r="C419" s="30"/>
      <c r="D419" s="30"/>
      <c r="E419" s="30"/>
      <c r="F419" s="30"/>
      <c r="G419" s="44"/>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row>
    <row r="420" ht="12.75" customHeight="1">
      <c r="A420" s="30"/>
      <c r="B420" s="30"/>
      <c r="C420" s="30"/>
      <c r="D420" s="30"/>
      <c r="E420" s="30"/>
      <c r="F420" s="30"/>
      <c r="G420" s="44"/>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row>
    <row r="421" ht="12.75" customHeight="1">
      <c r="A421" s="30"/>
      <c r="B421" s="30"/>
      <c r="C421" s="30"/>
      <c r="D421" s="30"/>
      <c r="E421" s="30"/>
      <c r="F421" s="30"/>
      <c r="G421" s="44"/>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row>
    <row r="422" ht="12.75" customHeight="1">
      <c r="A422" s="30"/>
      <c r="B422" s="30"/>
      <c r="C422" s="30"/>
      <c r="D422" s="30"/>
      <c r="E422" s="30"/>
      <c r="F422" s="30"/>
      <c r="G422" s="44"/>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row>
    <row r="423" ht="12.75" customHeight="1">
      <c r="A423" s="30"/>
      <c r="B423" s="30"/>
      <c r="C423" s="30"/>
      <c r="D423" s="30"/>
      <c r="E423" s="30"/>
      <c r="F423" s="30"/>
      <c r="G423" s="44"/>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row>
    <row r="424" ht="12.75" customHeight="1">
      <c r="A424" s="30"/>
      <c r="B424" s="30"/>
      <c r="C424" s="30"/>
      <c r="D424" s="30"/>
      <c r="E424" s="30"/>
      <c r="F424" s="30"/>
      <c r="G424" s="44"/>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row>
    <row r="425" ht="12.75" customHeight="1">
      <c r="A425" s="30"/>
      <c r="B425" s="30"/>
      <c r="C425" s="30"/>
      <c r="D425" s="30"/>
      <c r="E425" s="30"/>
      <c r="F425" s="30"/>
      <c r="G425" s="44"/>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row>
    <row r="426" ht="12.75" customHeight="1">
      <c r="A426" s="30"/>
      <c r="B426" s="30"/>
      <c r="C426" s="30"/>
      <c r="D426" s="30"/>
      <c r="E426" s="30"/>
      <c r="F426" s="30"/>
      <c r="G426" s="44"/>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row>
    <row r="427" ht="12.75" customHeight="1">
      <c r="A427" s="30"/>
      <c r="B427" s="30"/>
      <c r="C427" s="30"/>
      <c r="D427" s="30"/>
      <c r="E427" s="30"/>
      <c r="F427" s="30"/>
      <c r="G427" s="44"/>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row>
    <row r="428" ht="12.75" customHeight="1">
      <c r="A428" s="30"/>
      <c r="B428" s="30"/>
      <c r="C428" s="30"/>
      <c r="D428" s="30"/>
      <c r="E428" s="30"/>
      <c r="F428" s="30"/>
      <c r="G428" s="44"/>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row>
    <row r="429" ht="12.75" customHeight="1">
      <c r="A429" s="30"/>
      <c r="B429" s="30"/>
      <c r="C429" s="30"/>
      <c r="D429" s="30"/>
      <c r="E429" s="30"/>
      <c r="F429" s="30"/>
      <c r="G429" s="44"/>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row>
    <row r="430" ht="12.75" customHeight="1">
      <c r="A430" s="30"/>
      <c r="B430" s="30"/>
      <c r="C430" s="30"/>
      <c r="D430" s="30"/>
      <c r="E430" s="30"/>
      <c r="F430" s="30"/>
      <c r="G430" s="44"/>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row>
    <row r="431" ht="12.75" customHeight="1">
      <c r="A431" s="30"/>
      <c r="B431" s="30"/>
      <c r="C431" s="30"/>
      <c r="D431" s="30"/>
      <c r="E431" s="30"/>
      <c r="F431" s="30"/>
      <c r="G431" s="44"/>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row>
    <row r="432" ht="12.75" customHeight="1">
      <c r="A432" s="30"/>
      <c r="B432" s="30"/>
      <c r="C432" s="30"/>
      <c r="D432" s="30"/>
      <c r="E432" s="30"/>
      <c r="F432" s="30"/>
      <c r="G432" s="44"/>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row>
    <row r="433" ht="12.75" customHeight="1">
      <c r="A433" s="30"/>
      <c r="B433" s="30"/>
      <c r="C433" s="30"/>
      <c r="D433" s="30"/>
      <c r="E433" s="30"/>
      <c r="F433" s="30"/>
      <c r="G433" s="44"/>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row>
    <row r="434" ht="12.75" customHeight="1">
      <c r="A434" s="30"/>
      <c r="B434" s="30"/>
      <c r="C434" s="30"/>
      <c r="D434" s="30"/>
      <c r="E434" s="30"/>
      <c r="F434" s="30"/>
      <c r="G434" s="44"/>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row>
    <row r="435" ht="12.75" customHeight="1">
      <c r="A435" s="30"/>
      <c r="B435" s="30"/>
      <c r="C435" s="30"/>
      <c r="D435" s="30"/>
      <c r="E435" s="30"/>
      <c r="F435" s="30"/>
      <c r="G435" s="44"/>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row>
    <row r="436" ht="12.75" customHeight="1">
      <c r="A436" s="30"/>
      <c r="B436" s="30"/>
      <c r="C436" s="30"/>
      <c r="D436" s="30"/>
      <c r="E436" s="30"/>
      <c r="F436" s="30"/>
      <c r="G436" s="44"/>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row>
    <row r="437" ht="12.75" customHeight="1">
      <c r="A437" s="30"/>
      <c r="B437" s="30"/>
      <c r="C437" s="30"/>
      <c r="D437" s="30"/>
      <c r="E437" s="30"/>
      <c r="F437" s="30"/>
      <c r="G437" s="44"/>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row>
    <row r="438" ht="12.75" customHeight="1">
      <c r="A438" s="30"/>
      <c r="B438" s="30"/>
      <c r="C438" s="30"/>
      <c r="D438" s="30"/>
      <c r="E438" s="30"/>
      <c r="F438" s="30"/>
      <c r="G438" s="44"/>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row>
    <row r="439" ht="12.75" customHeight="1">
      <c r="A439" s="30"/>
      <c r="B439" s="30"/>
      <c r="C439" s="30"/>
      <c r="D439" s="30"/>
      <c r="E439" s="30"/>
      <c r="F439" s="30"/>
      <c r="G439" s="44"/>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row>
    <row r="440" ht="12.75" customHeight="1">
      <c r="A440" s="30"/>
      <c r="B440" s="30"/>
      <c r="C440" s="30"/>
      <c r="D440" s="30"/>
      <c r="E440" s="30"/>
      <c r="F440" s="30"/>
      <c r="G440" s="44"/>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row>
    <row r="441" ht="12.75" customHeight="1">
      <c r="A441" s="30"/>
      <c r="B441" s="30"/>
      <c r="C441" s="30"/>
      <c r="D441" s="30"/>
      <c r="E441" s="30"/>
      <c r="F441" s="30"/>
      <c r="G441" s="44"/>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row>
    <row r="442" ht="12.75" customHeight="1">
      <c r="A442" s="30"/>
      <c r="B442" s="30"/>
      <c r="C442" s="30"/>
      <c r="D442" s="30"/>
      <c r="E442" s="30"/>
      <c r="F442" s="30"/>
      <c r="G442" s="44"/>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row>
    <row r="443" ht="12.75" customHeight="1">
      <c r="A443" s="30"/>
      <c r="B443" s="30"/>
      <c r="C443" s="30"/>
      <c r="D443" s="30"/>
      <c r="E443" s="30"/>
      <c r="F443" s="30"/>
      <c r="G443" s="44"/>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row>
    <row r="444" ht="12.75" customHeight="1">
      <c r="A444" s="30"/>
      <c r="B444" s="30"/>
      <c r="C444" s="30"/>
      <c r="D444" s="30"/>
      <c r="E444" s="30"/>
      <c r="F444" s="30"/>
      <c r="G444" s="44"/>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row>
    <row r="445" ht="12.75" customHeight="1">
      <c r="A445" s="30"/>
      <c r="B445" s="30"/>
      <c r="C445" s="30"/>
      <c r="D445" s="30"/>
      <c r="E445" s="30"/>
      <c r="F445" s="30"/>
      <c r="G445" s="44"/>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row>
    <row r="446" ht="12.75" customHeight="1">
      <c r="A446" s="30"/>
      <c r="B446" s="30"/>
      <c r="C446" s="30"/>
      <c r="D446" s="30"/>
      <c r="E446" s="30"/>
      <c r="F446" s="30"/>
      <c r="G446" s="44"/>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row>
    <row r="447" ht="12.75" customHeight="1">
      <c r="A447" s="30"/>
      <c r="B447" s="30"/>
      <c r="C447" s="30"/>
      <c r="D447" s="30"/>
      <c r="E447" s="30"/>
      <c r="F447" s="30"/>
      <c r="G447" s="44"/>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row>
    <row r="448" ht="12.75" customHeight="1">
      <c r="A448" s="30"/>
      <c r="B448" s="30"/>
      <c r="C448" s="30"/>
      <c r="D448" s="30"/>
      <c r="E448" s="30"/>
      <c r="F448" s="30"/>
      <c r="G448" s="44"/>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row>
    <row r="449" ht="12.75" customHeight="1">
      <c r="A449" s="30"/>
      <c r="B449" s="30"/>
      <c r="C449" s="30"/>
      <c r="D449" s="30"/>
      <c r="E449" s="30"/>
      <c r="F449" s="30"/>
      <c r="G449" s="44"/>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row>
    <row r="450" ht="12.75" customHeight="1">
      <c r="A450" s="30"/>
      <c r="B450" s="30"/>
      <c r="C450" s="30"/>
      <c r="D450" s="30"/>
      <c r="E450" s="30"/>
      <c r="F450" s="30"/>
      <c r="G450" s="44"/>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row>
    <row r="451" ht="12.75" customHeight="1">
      <c r="A451" s="30"/>
      <c r="B451" s="30"/>
      <c r="C451" s="30"/>
      <c r="D451" s="30"/>
      <c r="E451" s="30"/>
      <c r="F451" s="30"/>
      <c r="G451" s="44"/>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row>
    <row r="452" ht="12.75" customHeight="1">
      <c r="A452" s="30"/>
      <c r="B452" s="30"/>
      <c r="C452" s="30"/>
      <c r="D452" s="30"/>
      <c r="E452" s="30"/>
      <c r="F452" s="30"/>
      <c r="G452" s="44"/>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row>
    <row r="453" ht="12.75" customHeight="1">
      <c r="A453" s="30"/>
      <c r="B453" s="30"/>
      <c r="C453" s="30"/>
      <c r="D453" s="30"/>
      <c r="E453" s="30"/>
      <c r="F453" s="30"/>
      <c r="G453" s="44"/>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row>
    <row r="454" ht="12.75" customHeight="1">
      <c r="A454" s="30"/>
      <c r="B454" s="30"/>
      <c r="C454" s="30"/>
      <c r="D454" s="30"/>
      <c r="E454" s="30"/>
      <c r="F454" s="30"/>
      <c r="G454" s="44"/>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row>
    <row r="455" ht="12.75" customHeight="1">
      <c r="A455" s="30"/>
      <c r="B455" s="30"/>
      <c r="C455" s="30"/>
      <c r="D455" s="30"/>
      <c r="E455" s="30"/>
      <c r="F455" s="30"/>
      <c r="G455" s="44"/>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row>
    <row r="456" ht="12.75" customHeight="1">
      <c r="A456" s="30"/>
      <c r="B456" s="30"/>
      <c r="C456" s="30"/>
      <c r="D456" s="30"/>
      <c r="E456" s="30"/>
      <c r="F456" s="30"/>
      <c r="G456" s="44"/>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row>
    <row r="457" ht="12.75" customHeight="1">
      <c r="A457" s="30"/>
      <c r="B457" s="30"/>
      <c r="C457" s="30"/>
      <c r="D457" s="30"/>
      <c r="E457" s="30"/>
      <c r="F457" s="30"/>
      <c r="G457" s="44"/>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row>
    <row r="458" ht="12.75" customHeight="1">
      <c r="A458" s="30"/>
      <c r="B458" s="30"/>
      <c r="C458" s="30"/>
      <c r="D458" s="30"/>
      <c r="E458" s="30"/>
      <c r="F458" s="30"/>
      <c r="G458" s="44"/>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row>
    <row r="459" ht="12.75" customHeight="1">
      <c r="A459" s="30"/>
      <c r="B459" s="30"/>
      <c r="C459" s="30"/>
      <c r="D459" s="30"/>
      <c r="E459" s="30"/>
      <c r="F459" s="30"/>
      <c r="G459" s="44"/>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row>
    <row r="460" ht="12.75" customHeight="1">
      <c r="A460" s="30"/>
      <c r="B460" s="30"/>
      <c r="C460" s="30"/>
      <c r="D460" s="30"/>
      <c r="E460" s="30"/>
      <c r="F460" s="30"/>
      <c r="G460" s="44"/>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row>
    <row r="461" ht="12.75" customHeight="1">
      <c r="A461" s="30"/>
      <c r="B461" s="30"/>
      <c r="C461" s="30"/>
      <c r="D461" s="30"/>
      <c r="E461" s="30"/>
      <c r="F461" s="30"/>
      <c r="G461" s="44"/>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row>
    <row r="462" ht="12.75" customHeight="1">
      <c r="A462" s="30"/>
      <c r="B462" s="30"/>
      <c r="C462" s="30"/>
      <c r="D462" s="30"/>
      <c r="E462" s="30"/>
      <c r="F462" s="30"/>
      <c r="G462" s="44"/>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row>
    <row r="463" ht="12.75" customHeight="1">
      <c r="A463" s="30"/>
      <c r="B463" s="30"/>
      <c r="C463" s="30"/>
      <c r="D463" s="30"/>
      <c r="E463" s="30"/>
      <c r="F463" s="30"/>
      <c r="G463" s="44"/>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row>
    <row r="464" ht="12.75" customHeight="1">
      <c r="A464" s="30"/>
      <c r="B464" s="30"/>
      <c r="C464" s="30"/>
      <c r="D464" s="30"/>
      <c r="E464" s="30"/>
      <c r="F464" s="30"/>
      <c r="G464" s="44"/>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row>
    <row r="465" ht="12.75" customHeight="1">
      <c r="A465" s="30"/>
      <c r="B465" s="30"/>
      <c r="C465" s="30"/>
      <c r="D465" s="30"/>
      <c r="E465" s="30"/>
      <c r="F465" s="30"/>
      <c r="G465" s="44"/>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row>
    <row r="466" ht="12.75" customHeight="1">
      <c r="A466" s="30"/>
      <c r="B466" s="30"/>
      <c r="C466" s="30"/>
      <c r="D466" s="30"/>
      <c r="E466" s="30"/>
      <c r="F466" s="30"/>
      <c r="G466" s="44"/>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row>
    <row r="467" ht="12.75" customHeight="1">
      <c r="A467" s="30"/>
      <c r="B467" s="30"/>
      <c r="C467" s="30"/>
      <c r="D467" s="30"/>
      <c r="E467" s="30"/>
      <c r="F467" s="30"/>
      <c r="G467" s="44"/>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row>
    <row r="468" ht="12.75" customHeight="1">
      <c r="A468" s="30"/>
      <c r="B468" s="30"/>
      <c r="C468" s="30"/>
      <c r="D468" s="30"/>
      <c r="E468" s="30"/>
      <c r="F468" s="30"/>
      <c r="G468" s="44"/>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row>
    <row r="469" ht="12.75" customHeight="1">
      <c r="A469" s="30"/>
      <c r="B469" s="30"/>
      <c r="C469" s="30"/>
      <c r="D469" s="30"/>
      <c r="E469" s="30"/>
      <c r="F469" s="30"/>
      <c r="G469" s="44"/>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row>
    <row r="470" ht="12.75" customHeight="1">
      <c r="A470" s="30"/>
      <c r="B470" s="30"/>
      <c r="C470" s="30"/>
      <c r="D470" s="30"/>
      <c r="E470" s="30"/>
      <c r="F470" s="30"/>
      <c r="G470" s="44"/>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row>
    <row r="471" ht="12.75" customHeight="1">
      <c r="A471" s="30"/>
      <c r="B471" s="30"/>
      <c r="C471" s="30"/>
      <c r="D471" s="30"/>
      <c r="E471" s="30"/>
      <c r="F471" s="30"/>
      <c r="G471" s="44"/>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row>
    <row r="472" ht="12.75" customHeight="1">
      <c r="A472" s="30"/>
      <c r="B472" s="30"/>
      <c r="C472" s="30"/>
      <c r="D472" s="30"/>
      <c r="E472" s="30"/>
      <c r="F472" s="30"/>
      <c r="G472" s="44"/>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row>
    <row r="473" ht="12.75" customHeight="1">
      <c r="A473" s="30"/>
      <c r="B473" s="30"/>
      <c r="C473" s="30"/>
      <c r="D473" s="30"/>
      <c r="E473" s="30"/>
      <c r="F473" s="30"/>
      <c r="G473" s="44"/>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row>
    <row r="474" ht="12.75" customHeight="1">
      <c r="A474" s="30"/>
      <c r="B474" s="30"/>
      <c r="C474" s="30"/>
      <c r="D474" s="30"/>
      <c r="E474" s="30"/>
      <c r="F474" s="30"/>
      <c r="G474" s="44"/>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row>
    <row r="475" ht="12.75" customHeight="1">
      <c r="A475" s="30"/>
      <c r="B475" s="30"/>
      <c r="C475" s="30"/>
      <c r="D475" s="30"/>
      <c r="E475" s="30"/>
      <c r="F475" s="30"/>
      <c r="G475" s="44"/>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row>
    <row r="476" ht="12.75" customHeight="1">
      <c r="A476" s="30"/>
      <c r="B476" s="30"/>
      <c r="C476" s="30"/>
      <c r="D476" s="30"/>
      <c r="E476" s="30"/>
      <c r="F476" s="30"/>
      <c r="G476" s="44"/>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row>
    <row r="477" ht="12.75" customHeight="1">
      <c r="A477" s="30"/>
      <c r="B477" s="30"/>
      <c r="C477" s="30"/>
      <c r="D477" s="30"/>
      <c r="E477" s="30"/>
      <c r="F477" s="30"/>
      <c r="G477" s="44"/>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row>
    <row r="478" ht="12.75" customHeight="1">
      <c r="A478" s="30"/>
      <c r="B478" s="30"/>
      <c r="C478" s="30"/>
      <c r="D478" s="30"/>
      <c r="E478" s="30"/>
      <c r="F478" s="30"/>
      <c r="G478" s="44"/>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row>
    <row r="479" ht="12.75" customHeight="1">
      <c r="A479" s="30"/>
      <c r="B479" s="30"/>
      <c r="C479" s="30"/>
      <c r="D479" s="30"/>
      <c r="E479" s="30"/>
      <c r="F479" s="30"/>
      <c r="G479" s="44"/>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row>
    <row r="480" ht="12.75" customHeight="1">
      <c r="A480" s="30"/>
      <c r="B480" s="30"/>
      <c r="C480" s="30"/>
      <c r="D480" s="30"/>
      <c r="E480" s="30"/>
      <c r="F480" s="30"/>
      <c r="G480" s="44"/>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row>
    <row r="481" ht="12.75" customHeight="1">
      <c r="A481" s="30"/>
      <c r="B481" s="30"/>
      <c r="C481" s="30"/>
      <c r="D481" s="30"/>
      <c r="E481" s="30"/>
      <c r="F481" s="30"/>
      <c r="G481" s="44"/>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row>
    <row r="482" ht="12.75" customHeight="1">
      <c r="A482" s="30"/>
      <c r="B482" s="30"/>
      <c r="C482" s="30"/>
      <c r="D482" s="30"/>
      <c r="E482" s="30"/>
      <c r="F482" s="30"/>
      <c r="G482" s="44"/>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row>
    <row r="483" ht="12.75" customHeight="1">
      <c r="A483" s="30"/>
      <c r="B483" s="30"/>
      <c r="C483" s="30"/>
      <c r="D483" s="30"/>
      <c r="E483" s="30"/>
      <c r="F483" s="30"/>
      <c r="G483" s="44"/>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row>
    <row r="484" ht="12.75" customHeight="1">
      <c r="A484" s="30"/>
      <c r="B484" s="30"/>
      <c r="C484" s="30"/>
      <c r="D484" s="30"/>
      <c r="E484" s="30"/>
      <c r="F484" s="30"/>
      <c r="G484" s="44"/>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row>
    <row r="485" ht="12.75" customHeight="1">
      <c r="A485" s="30"/>
      <c r="B485" s="30"/>
      <c r="C485" s="30"/>
      <c r="D485" s="30"/>
      <c r="E485" s="30"/>
      <c r="F485" s="30"/>
      <c r="G485" s="44"/>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row>
    <row r="486" ht="12.75" customHeight="1">
      <c r="A486" s="30"/>
      <c r="B486" s="30"/>
      <c r="C486" s="30"/>
      <c r="D486" s="30"/>
      <c r="E486" s="30"/>
      <c r="F486" s="30"/>
      <c r="G486" s="44"/>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row>
    <row r="487" ht="12.75" customHeight="1">
      <c r="A487" s="30"/>
      <c r="B487" s="30"/>
      <c r="C487" s="30"/>
      <c r="D487" s="30"/>
      <c r="E487" s="30"/>
      <c r="F487" s="30"/>
      <c r="G487" s="44"/>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row>
    <row r="488" ht="12.75" customHeight="1">
      <c r="A488" s="30"/>
      <c r="B488" s="30"/>
      <c r="C488" s="30"/>
      <c r="D488" s="30"/>
      <c r="E488" s="30"/>
      <c r="F488" s="30"/>
      <c r="G488" s="44"/>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row>
    <row r="489" ht="12.75" customHeight="1">
      <c r="A489" s="30"/>
      <c r="B489" s="30"/>
      <c r="C489" s="30"/>
      <c r="D489" s="30"/>
      <c r="E489" s="30"/>
      <c r="F489" s="30"/>
      <c r="G489" s="44"/>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row>
    <row r="490" ht="12.75" customHeight="1">
      <c r="A490" s="30"/>
      <c r="B490" s="30"/>
      <c r="C490" s="30"/>
      <c r="D490" s="30"/>
      <c r="E490" s="30"/>
      <c r="F490" s="30"/>
      <c r="G490" s="44"/>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AQ490" s="30"/>
      <c r="AR490" s="30"/>
      <c r="AS490" s="30"/>
      <c r="AT490" s="30"/>
    </row>
    <row r="491" ht="12.75" customHeight="1">
      <c r="A491" s="30"/>
      <c r="B491" s="30"/>
      <c r="C491" s="30"/>
      <c r="D491" s="30"/>
      <c r="E491" s="30"/>
      <c r="F491" s="30"/>
      <c r="G491" s="44"/>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AQ491" s="30"/>
      <c r="AR491" s="30"/>
      <c r="AS491" s="30"/>
      <c r="AT491" s="30"/>
    </row>
    <row r="492" ht="12.75" customHeight="1">
      <c r="A492" s="30"/>
      <c r="B492" s="30"/>
      <c r="C492" s="30"/>
      <c r="D492" s="30"/>
      <c r="E492" s="30"/>
      <c r="F492" s="30"/>
      <c r="G492" s="44"/>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row>
    <row r="493" ht="12.75" customHeight="1">
      <c r="A493" s="30"/>
      <c r="B493" s="30"/>
      <c r="C493" s="30"/>
      <c r="D493" s="30"/>
      <c r="E493" s="30"/>
      <c r="F493" s="30"/>
      <c r="G493" s="44"/>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AQ493" s="30"/>
      <c r="AR493" s="30"/>
      <c r="AS493" s="30"/>
      <c r="AT493" s="30"/>
    </row>
    <row r="494" ht="12.75" customHeight="1">
      <c r="A494" s="30"/>
      <c r="B494" s="30"/>
      <c r="C494" s="30"/>
      <c r="D494" s="30"/>
      <c r="E494" s="30"/>
      <c r="F494" s="30"/>
      <c r="G494" s="44"/>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row>
    <row r="495" ht="12.75" customHeight="1">
      <c r="A495" s="30"/>
      <c r="B495" s="30"/>
      <c r="C495" s="30"/>
      <c r="D495" s="30"/>
      <c r="E495" s="30"/>
      <c r="F495" s="30"/>
      <c r="G495" s="44"/>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AQ495" s="30"/>
      <c r="AR495" s="30"/>
      <c r="AS495" s="30"/>
      <c r="AT495" s="30"/>
    </row>
    <row r="496" ht="12.75" customHeight="1">
      <c r="A496" s="30"/>
      <c r="B496" s="30"/>
      <c r="C496" s="30"/>
      <c r="D496" s="30"/>
      <c r="E496" s="30"/>
      <c r="F496" s="30"/>
      <c r="G496" s="44"/>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row>
    <row r="497" ht="12.75" customHeight="1">
      <c r="A497" s="30"/>
      <c r="B497" s="30"/>
      <c r="C497" s="30"/>
      <c r="D497" s="30"/>
      <c r="E497" s="30"/>
      <c r="F497" s="30"/>
      <c r="G497" s="44"/>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row>
    <row r="498" ht="12.75" customHeight="1">
      <c r="A498" s="30"/>
      <c r="B498" s="30"/>
      <c r="C498" s="30"/>
      <c r="D498" s="30"/>
      <c r="E498" s="30"/>
      <c r="F498" s="30"/>
      <c r="G498" s="44"/>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row>
    <row r="499" ht="12.75" customHeight="1">
      <c r="A499" s="30"/>
      <c r="B499" s="30"/>
      <c r="C499" s="30"/>
      <c r="D499" s="30"/>
      <c r="E499" s="30"/>
      <c r="F499" s="30"/>
      <c r="G499" s="44"/>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row>
    <row r="500" ht="12.75" customHeight="1">
      <c r="A500" s="30"/>
      <c r="B500" s="30"/>
      <c r="C500" s="30"/>
      <c r="D500" s="30"/>
      <c r="E500" s="30"/>
      <c r="F500" s="30"/>
      <c r="G500" s="44"/>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row>
    <row r="501" ht="12.75" customHeight="1">
      <c r="A501" s="30"/>
      <c r="B501" s="30"/>
      <c r="C501" s="30"/>
      <c r="D501" s="30"/>
      <c r="E501" s="30"/>
      <c r="F501" s="30"/>
      <c r="G501" s="44"/>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row>
    <row r="502" ht="12.75" customHeight="1">
      <c r="A502" s="30"/>
      <c r="B502" s="30"/>
      <c r="C502" s="30"/>
      <c r="D502" s="30"/>
      <c r="E502" s="30"/>
      <c r="F502" s="30"/>
      <c r="G502" s="44"/>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row>
    <row r="503" ht="12.75" customHeight="1">
      <c r="A503" s="30"/>
      <c r="B503" s="30"/>
      <c r="C503" s="30"/>
      <c r="D503" s="30"/>
      <c r="E503" s="30"/>
      <c r="F503" s="30"/>
      <c r="G503" s="44"/>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row>
    <row r="504" ht="12.75" customHeight="1">
      <c r="A504" s="30"/>
      <c r="B504" s="30"/>
      <c r="C504" s="30"/>
      <c r="D504" s="30"/>
      <c r="E504" s="30"/>
      <c r="F504" s="30"/>
      <c r="G504" s="44"/>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row>
    <row r="505" ht="12.75" customHeight="1">
      <c r="A505" s="30"/>
      <c r="B505" s="30"/>
      <c r="C505" s="30"/>
      <c r="D505" s="30"/>
      <c r="E505" s="30"/>
      <c r="F505" s="30"/>
      <c r="G505" s="44"/>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row>
    <row r="506" ht="12.75" customHeight="1">
      <c r="A506" s="30"/>
      <c r="B506" s="30"/>
      <c r="C506" s="30"/>
      <c r="D506" s="30"/>
      <c r="E506" s="30"/>
      <c r="F506" s="30"/>
      <c r="G506" s="44"/>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row>
    <row r="507" ht="12.75" customHeight="1">
      <c r="A507" s="30"/>
      <c r="B507" s="30"/>
      <c r="C507" s="30"/>
      <c r="D507" s="30"/>
      <c r="E507" s="30"/>
      <c r="F507" s="30"/>
      <c r="G507" s="44"/>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row>
    <row r="508" ht="12.75" customHeight="1">
      <c r="A508" s="30"/>
      <c r="B508" s="30"/>
      <c r="C508" s="30"/>
      <c r="D508" s="30"/>
      <c r="E508" s="30"/>
      <c r="F508" s="30"/>
      <c r="G508" s="44"/>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row>
    <row r="509" ht="12.75" customHeight="1">
      <c r="A509" s="30"/>
      <c r="B509" s="30"/>
      <c r="C509" s="30"/>
      <c r="D509" s="30"/>
      <c r="E509" s="30"/>
      <c r="F509" s="30"/>
      <c r="G509" s="44"/>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row>
    <row r="510" ht="12.75" customHeight="1">
      <c r="A510" s="30"/>
      <c r="B510" s="30"/>
      <c r="C510" s="30"/>
      <c r="D510" s="30"/>
      <c r="E510" s="30"/>
      <c r="F510" s="30"/>
      <c r="G510" s="44"/>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row>
    <row r="511" ht="12.75" customHeight="1">
      <c r="A511" s="30"/>
      <c r="B511" s="30"/>
      <c r="C511" s="30"/>
      <c r="D511" s="30"/>
      <c r="E511" s="30"/>
      <c r="F511" s="30"/>
      <c r="G511" s="44"/>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row>
    <row r="512" ht="12.75" customHeight="1">
      <c r="A512" s="30"/>
      <c r="B512" s="30"/>
      <c r="C512" s="30"/>
      <c r="D512" s="30"/>
      <c r="E512" s="30"/>
      <c r="F512" s="30"/>
      <c r="G512" s="44"/>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row>
    <row r="513" ht="12.75" customHeight="1">
      <c r="A513" s="30"/>
      <c r="B513" s="30"/>
      <c r="C513" s="30"/>
      <c r="D513" s="30"/>
      <c r="E513" s="30"/>
      <c r="F513" s="30"/>
      <c r="G513" s="44"/>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row>
    <row r="514" ht="12.75" customHeight="1">
      <c r="A514" s="30"/>
      <c r="B514" s="30"/>
      <c r="C514" s="30"/>
      <c r="D514" s="30"/>
      <c r="E514" s="30"/>
      <c r="F514" s="30"/>
      <c r="G514" s="44"/>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row>
    <row r="515" ht="12.75" customHeight="1">
      <c r="A515" s="30"/>
      <c r="B515" s="30"/>
      <c r="C515" s="30"/>
      <c r="D515" s="30"/>
      <c r="E515" s="30"/>
      <c r="F515" s="30"/>
      <c r="G515" s="44"/>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row>
    <row r="516" ht="12.75" customHeight="1">
      <c r="A516" s="30"/>
      <c r="B516" s="30"/>
      <c r="C516" s="30"/>
      <c r="D516" s="30"/>
      <c r="E516" s="30"/>
      <c r="F516" s="30"/>
      <c r="G516" s="44"/>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row>
    <row r="517" ht="12.75" customHeight="1">
      <c r="A517" s="30"/>
      <c r="B517" s="30"/>
      <c r="C517" s="30"/>
      <c r="D517" s="30"/>
      <c r="E517" s="30"/>
      <c r="F517" s="30"/>
      <c r="G517" s="44"/>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row>
    <row r="518" ht="12.75" customHeight="1">
      <c r="A518" s="30"/>
      <c r="B518" s="30"/>
      <c r="C518" s="30"/>
      <c r="D518" s="30"/>
      <c r="E518" s="30"/>
      <c r="F518" s="30"/>
      <c r="G518" s="44"/>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row>
    <row r="519" ht="12.75" customHeight="1">
      <c r="A519" s="30"/>
      <c r="B519" s="30"/>
      <c r="C519" s="30"/>
      <c r="D519" s="30"/>
      <c r="E519" s="30"/>
      <c r="F519" s="30"/>
      <c r="G519" s="44"/>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row>
    <row r="520" ht="12.75" customHeight="1">
      <c r="A520" s="30"/>
      <c r="B520" s="30"/>
      <c r="C520" s="30"/>
      <c r="D520" s="30"/>
      <c r="E520" s="30"/>
      <c r="F520" s="30"/>
      <c r="G520" s="44"/>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row>
    <row r="521" ht="12.75" customHeight="1">
      <c r="A521" s="30"/>
      <c r="B521" s="30"/>
      <c r="C521" s="30"/>
      <c r="D521" s="30"/>
      <c r="E521" s="30"/>
      <c r="F521" s="30"/>
      <c r="G521" s="44"/>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row>
    <row r="522" ht="12.75" customHeight="1">
      <c r="A522" s="30"/>
      <c r="B522" s="30"/>
      <c r="C522" s="30"/>
      <c r="D522" s="30"/>
      <c r="E522" s="30"/>
      <c r="F522" s="30"/>
      <c r="G522" s="44"/>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row>
    <row r="523" ht="12.75" customHeight="1">
      <c r="A523" s="30"/>
      <c r="B523" s="30"/>
      <c r="C523" s="30"/>
      <c r="D523" s="30"/>
      <c r="E523" s="30"/>
      <c r="F523" s="30"/>
      <c r="G523" s="44"/>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row>
    <row r="524" ht="12.75" customHeight="1">
      <c r="A524" s="30"/>
      <c r="B524" s="30"/>
      <c r="C524" s="30"/>
      <c r="D524" s="30"/>
      <c r="E524" s="30"/>
      <c r="F524" s="30"/>
      <c r="G524" s="44"/>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row>
    <row r="525" ht="12.75" customHeight="1">
      <c r="A525" s="30"/>
      <c r="B525" s="30"/>
      <c r="C525" s="30"/>
      <c r="D525" s="30"/>
      <c r="E525" s="30"/>
      <c r="F525" s="30"/>
      <c r="G525" s="44"/>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row>
    <row r="526" ht="12.75" customHeight="1">
      <c r="A526" s="30"/>
      <c r="B526" s="30"/>
      <c r="C526" s="30"/>
      <c r="D526" s="30"/>
      <c r="E526" s="30"/>
      <c r="F526" s="30"/>
      <c r="G526" s="44"/>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row>
    <row r="527" ht="12.75" customHeight="1">
      <c r="A527" s="30"/>
      <c r="B527" s="30"/>
      <c r="C527" s="30"/>
      <c r="D527" s="30"/>
      <c r="E527" s="30"/>
      <c r="F527" s="30"/>
      <c r="G527" s="44"/>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row>
    <row r="528" ht="12.75" customHeight="1">
      <c r="A528" s="30"/>
      <c r="B528" s="30"/>
      <c r="C528" s="30"/>
      <c r="D528" s="30"/>
      <c r="E528" s="30"/>
      <c r="F528" s="30"/>
      <c r="G528" s="44"/>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row>
    <row r="529" ht="12.75" customHeight="1">
      <c r="A529" s="30"/>
      <c r="B529" s="30"/>
      <c r="C529" s="30"/>
      <c r="D529" s="30"/>
      <c r="E529" s="30"/>
      <c r="F529" s="30"/>
      <c r="G529" s="44"/>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row>
    <row r="530" ht="12.75" customHeight="1">
      <c r="A530" s="30"/>
      <c r="B530" s="30"/>
      <c r="C530" s="30"/>
      <c r="D530" s="30"/>
      <c r="E530" s="30"/>
      <c r="F530" s="30"/>
      <c r="G530" s="44"/>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row>
    <row r="531" ht="12.75" customHeight="1">
      <c r="A531" s="30"/>
      <c r="B531" s="30"/>
      <c r="C531" s="30"/>
      <c r="D531" s="30"/>
      <c r="E531" s="30"/>
      <c r="F531" s="30"/>
      <c r="G531" s="44"/>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row>
    <row r="532" ht="12.75" customHeight="1">
      <c r="A532" s="30"/>
      <c r="B532" s="30"/>
      <c r="C532" s="30"/>
      <c r="D532" s="30"/>
      <c r="E532" s="30"/>
      <c r="F532" s="30"/>
      <c r="G532" s="44"/>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row>
    <row r="533" ht="12.75" customHeight="1">
      <c r="A533" s="30"/>
      <c r="B533" s="30"/>
      <c r="C533" s="30"/>
      <c r="D533" s="30"/>
      <c r="E533" s="30"/>
      <c r="F533" s="30"/>
      <c r="G533" s="44"/>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row>
    <row r="534" ht="12.75" customHeight="1">
      <c r="A534" s="30"/>
      <c r="B534" s="30"/>
      <c r="C534" s="30"/>
      <c r="D534" s="30"/>
      <c r="E534" s="30"/>
      <c r="F534" s="30"/>
      <c r="G534" s="44"/>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row>
    <row r="535" ht="12.75" customHeight="1">
      <c r="A535" s="30"/>
      <c r="B535" s="30"/>
      <c r="C535" s="30"/>
      <c r="D535" s="30"/>
      <c r="E535" s="30"/>
      <c r="F535" s="30"/>
      <c r="G535" s="44"/>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row>
    <row r="536" ht="12.75" customHeight="1">
      <c r="A536" s="30"/>
      <c r="B536" s="30"/>
      <c r="C536" s="30"/>
      <c r="D536" s="30"/>
      <c r="E536" s="30"/>
      <c r="F536" s="30"/>
      <c r="G536" s="44"/>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row>
    <row r="537" ht="12.75" customHeight="1">
      <c r="A537" s="30"/>
      <c r="B537" s="30"/>
      <c r="C537" s="30"/>
      <c r="D537" s="30"/>
      <c r="E537" s="30"/>
      <c r="F537" s="30"/>
      <c r="G537" s="44"/>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row>
    <row r="538" ht="12.75" customHeight="1">
      <c r="A538" s="30"/>
      <c r="B538" s="30"/>
      <c r="C538" s="30"/>
      <c r="D538" s="30"/>
      <c r="E538" s="30"/>
      <c r="F538" s="30"/>
      <c r="G538" s="44"/>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row>
    <row r="539" ht="12.75" customHeight="1">
      <c r="A539" s="30"/>
      <c r="B539" s="30"/>
      <c r="C539" s="30"/>
      <c r="D539" s="30"/>
      <c r="E539" s="30"/>
      <c r="F539" s="30"/>
      <c r="G539" s="44"/>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row>
    <row r="540" ht="12.75" customHeight="1">
      <c r="A540" s="30"/>
      <c r="B540" s="30"/>
      <c r="C540" s="30"/>
      <c r="D540" s="30"/>
      <c r="E540" s="30"/>
      <c r="F540" s="30"/>
      <c r="G540" s="44"/>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row>
    <row r="541" ht="12.75" customHeight="1">
      <c r="A541" s="30"/>
      <c r="B541" s="30"/>
      <c r="C541" s="30"/>
      <c r="D541" s="30"/>
      <c r="E541" s="30"/>
      <c r="F541" s="30"/>
      <c r="G541" s="44"/>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row>
    <row r="542" ht="12.75" customHeight="1">
      <c r="A542" s="30"/>
      <c r="B542" s="30"/>
      <c r="C542" s="30"/>
      <c r="D542" s="30"/>
      <c r="E542" s="30"/>
      <c r="F542" s="30"/>
      <c r="G542" s="44"/>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row>
    <row r="543" ht="12.75" customHeight="1">
      <c r="A543" s="30"/>
      <c r="B543" s="30"/>
      <c r="C543" s="30"/>
      <c r="D543" s="30"/>
      <c r="E543" s="30"/>
      <c r="F543" s="30"/>
      <c r="G543" s="44"/>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row>
    <row r="544" ht="12.75" customHeight="1">
      <c r="A544" s="30"/>
      <c r="B544" s="30"/>
      <c r="C544" s="30"/>
      <c r="D544" s="30"/>
      <c r="E544" s="30"/>
      <c r="F544" s="30"/>
      <c r="G544" s="44"/>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row>
    <row r="545" ht="12.75" customHeight="1">
      <c r="A545" s="30"/>
      <c r="B545" s="30"/>
      <c r="C545" s="30"/>
      <c r="D545" s="30"/>
      <c r="E545" s="30"/>
      <c r="F545" s="30"/>
      <c r="G545" s="44"/>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row>
    <row r="546" ht="12.75" customHeight="1">
      <c r="A546" s="30"/>
      <c r="B546" s="30"/>
      <c r="C546" s="30"/>
      <c r="D546" s="30"/>
      <c r="E546" s="30"/>
      <c r="F546" s="30"/>
      <c r="G546" s="44"/>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row>
    <row r="547" ht="12.75" customHeight="1">
      <c r="A547" s="30"/>
      <c r="B547" s="30"/>
      <c r="C547" s="30"/>
      <c r="D547" s="30"/>
      <c r="E547" s="30"/>
      <c r="F547" s="30"/>
      <c r="G547" s="44"/>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row>
    <row r="548" ht="12.75" customHeight="1">
      <c r="A548" s="30"/>
      <c r="B548" s="30"/>
      <c r="C548" s="30"/>
      <c r="D548" s="30"/>
      <c r="E548" s="30"/>
      <c r="F548" s="30"/>
      <c r="G548" s="44"/>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row>
    <row r="549" ht="12.75" customHeight="1">
      <c r="A549" s="30"/>
      <c r="B549" s="30"/>
      <c r="C549" s="30"/>
      <c r="D549" s="30"/>
      <c r="E549" s="30"/>
      <c r="F549" s="30"/>
      <c r="G549" s="44"/>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row>
    <row r="550" ht="12.75" customHeight="1">
      <c r="A550" s="30"/>
      <c r="B550" s="30"/>
      <c r="C550" s="30"/>
      <c r="D550" s="30"/>
      <c r="E550" s="30"/>
      <c r="F550" s="30"/>
      <c r="G550" s="44"/>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row>
    <row r="551" ht="12.75" customHeight="1">
      <c r="A551" s="30"/>
      <c r="B551" s="30"/>
      <c r="C551" s="30"/>
      <c r="D551" s="30"/>
      <c r="E551" s="30"/>
      <c r="F551" s="30"/>
      <c r="G551" s="44"/>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row>
    <row r="552" ht="12.75" customHeight="1">
      <c r="A552" s="30"/>
      <c r="B552" s="30"/>
      <c r="C552" s="30"/>
      <c r="D552" s="30"/>
      <c r="E552" s="30"/>
      <c r="F552" s="30"/>
      <c r="G552" s="44"/>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row>
    <row r="553" ht="12.75" customHeight="1">
      <c r="A553" s="30"/>
      <c r="B553" s="30"/>
      <c r="C553" s="30"/>
      <c r="D553" s="30"/>
      <c r="E553" s="30"/>
      <c r="F553" s="30"/>
      <c r="G553" s="44"/>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row>
    <row r="554" ht="12.75" customHeight="1">
      <c r="A554" s="30"/>
      <c r="B554" s="30"/>
      <c r="C554" s="30"/>
      <c r="D554" s="30"/>
      <c r="E554" s="30"/>
      <c r="F554" s="30"/>
      <c r="G554" s="44"/>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row>
    <row r="555" ht="12.75" customHeight="1">
      <c r="A555" s="30"/>
      <c r="B555" s="30"/>
      <c r="C555" s="30"/>
      <c r="D555" s="30"/>
      <c r="E555" s="30"/>
      <c r="F555" s="30"/>
      <c r="G555" s="44"/>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row>
    <row r="556" ht="12.75" customHeight="1">
      <c r="A556" s="30"/>
      <c r="B556" s="30"/>
      <c r="C556" s="30"/>
      <c r="D556" s="30"/>
      <c r="E556" s="30"/>
      <c r="F556" s="30"/>
      <c r="G556" s="44"/>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row>
    <row r="557" ht="12.75" customHeight="1">
      <c r="A557" s="30"/>
      <c r="B557" s="30"/>
      <c r="C557" s="30"/>
      <c r="D557" s="30"/>
      <c r="E557" s="30"/>
      <c r="F557" s="30"/>
      <c r="G557" s="44"/>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row>
    <row r="558" ht="12.75" customHeight="1">
      <c r="A558" s="30"/>
      <c r="B558" s="30"/>
      <c r="C558" s="30"/>
      <c r="D558" s="30"/>
      <c r="E558" s="30"/>
      <c r="F558" s="30"/>
      <c r="G558" s="44"/>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row>
    <row r="559" ht="12.75" customHeight="1">
      <c r="A559" s="30"/>
      <c r="B559" s="30"/>
      <c r="C559" s="30"/>
      <c r="D559" s="30"/>
      <c r="E559" s="30"/>
      <c r="F559" s="30"/>
      <c r="G559" s="44"/>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row>
    <row r="560" ht="12.75" customHeight="1">
      <c r="A560" s="30"/>
      <c r="B560" s="30"/>
      <c r="C560" s="30"/>
      <c r="D560" s="30"/>
      <c r="E560" s="30"/>
      <c r="F560" s="30"/>
      <c r="G560" s="44"/>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row>
    <row r="561" ht="12.75" customHeight="1">
      <c r="A561" s="30"/>
      <c r="B561" s="30"/>
      <c r="C561" s="30"/>
      <c r="D561" s="30"/>
      <c r="E561" s="30"/>
      <c r="F561" s="30"/>
      <c r="G561" s="44"/>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row>
    <row r="562" ht="12.75" customHeight="1">
      <c r="A562" s="30"/>
      <c r="B562" s="30"/>
      <c r="C562" s="30"/>
      <c r="D562" s="30"/>
      <c r="E562" s="30"/>
      <c r="F562" s="30"/>
      <c r="G562" s="44"/>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row>
    <row r="563" ht="12.75" customHeight="1">
      <c r="A563" s="30"/>
      <c r="B563" s="30"/>
      <c r="C563" s="30"/>
      <c r="D563" s="30"/>
      <c r="E563" s="30"/>
      <c r="F563" s="30"/>
      <c r="G563" s="44"/>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row>
    <row r="564" ht="12.75" customHeight="1">
      <c r="A564" s="30"/>
      <c r="B564" s="30"/>
      <c r="C564" s="30"/>
      <c r="D564" s="30"/>
      <c r="E564" s="30"/>
      <c r="F564" s="30"/>
      <c r="G564" s="44"/>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row>
    <row r="565" ht="12.75" customHeight="1">
      <c r="A565" s="30"/>
      <c r="B565" s="30"/>
      <c r="C565" s="30"/>
      <c r="D565" s="30"/>
      <c r="E565" s="30"/>
      <c r="F565" s="30"/>
      <c r="G565" s="44"/>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row>
    <row r="566" ht="12.75" customHeight="1">
      <c r="A566" s="30"/>
      <c r="B566" s="30"/>
      <c r="C566" s="30"/>
      <c r="D566" s="30"/>
      <c r="E566" s="30"/>
      <c r="F566" s="30"/>
      <c r="G566" s="44"/>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row>
    <row r="567" ht="12.75" customHeight="1">
      <c r="A567" s="30"/>
      <c r="B567" s="30"/>
      <c r="C567" s="30"/>
      <c r="D567" s="30"/>
      <c r="E567" s="30"/>
      <c r="F567" s="30"/>
      <c r="G567" s="44"/>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row>
    <row r="568" ht="12.75" customHeight="1">
      <c r="A568" s="30"/>
      <c r="B568" s="30"/>
      <c r="C568" s="30"/>
      <c r="D568" s="30"/>
      <c r="E568" s="30"/>
      <c r="F568" s="30"/>
      <c r="G568" s="44"/>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row>
    <row r="569" ht="12.75" customHeight="1">
      <c r="A569" s="30"/>
      <c r="B569" s="30"/>
      <c r="C569" s="30"/>
      <c r="D569" s="30"/>
      <c r="E569" s="30"/>
      <c r="F569" s="30"/>
      <c r="G569" s="44"/>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row>
    <row r="570" ht="12.75" customHeight="1">
      <c r="A570" s="30"/>
      <c r="B570" s="30"/>
      <c r="C570" s="30"/>
      <c r="D570" s="30"/>
      <c r="E570" s="30"/>
      <c r="F570" s="30"/>
      <c r="G570" s="44"/>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row>
    <row r="571" ht="12.75" customHeight="1">
      <c r="A571" s="30"/>
      <c r="B571" s="30"/>
      <c r="C571" s="30"/>
      <c r="D571" s="30"/>
      <c r="E571" s="30"/>
      <c r="F571" s="30"/>
      <c r="G571" s="44"/>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row>
    <row r="572" ht="12.75" customHeight="1">
      <c r="A572" s="30"/>
      <c r="B572" s="30"/>
      <c r="C572" s="30"/>
      <c r="D572" s="30"/>
      <c r="E572" s="30"/>
      <c r="F572" s="30"/>
      <c r="G572" s="44"/>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row>
    <row r="573" ht="12.75" customHeight="1">
      <c r="A573" s="30"/>
      <c r="B573" s="30"/>
      <c r="C573" s="30"/>
      <c r="D573" s="30"/>
      <c r="E573" s="30"/>
      <c r="F573" s="30"/>
      <c r="G573" s="44"/>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row>
    <row r="574" ht="12.75" customHeight="1">
      <c r="A574" s="30"/>
      <c r="B574" s="30"/>
      <c r="C574" s="30"/>
      <c r="D574" s="30"/>
      <c r="E574" s="30"/>
      <c r="F574" s="30"/>
      <c r="G574" s="44"/>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row>
    <row r="575" ht="12.75" customHeight="1">
      <c r="A575" s="30"/>
      <c r="B575" s="30"/>
      <c r="C575" s="30"/>
      <c r="D575" s="30"/>
      <c r="E575" s="30"/>
      <c r="F575" s="30"/>
      <c r="G575" s="44"/>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row>
    <row r="576" ht="12.75" customHeight="1">
      <c r="A576" s="30"/>
      <c r="B576" s="30"/>
      <c r="C576" s="30"/>
      <c r="D576" s="30"/>
      <c r="E576" s="30"/>
      <c r="F576" s="30"/>
      <c r="G576" s="44"/>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row>
    <row r="577" ht="12.75" customHeight="1">
      <c r="A577" s="30"/>
      <c r="B577" s="30"/>
      <c r="C577" s="30"/>
      <c r="D577" s="30"/>
      <c r="E577" s="30"/>
      <c r="F577" s="30"/>
      <c r="G577" s="44"/>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row>
    <row r="578" ht="12.75" customHeight="1">
      <c r="A578" s="30"/>
      <c r="B578" s="30"/>
      <c r="C578" s="30"/>
      <c r="D578" s="30"/>
      <c r="E578" s="30"/>
      <c r="F578" s="30"/>
      <c r="G578" s="44"/>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row>
    <row r="579" ht="12.75" customHeight="1">
      <c r="A579" s="30"/>
      <c r="B579" s="30"/>
      <c r="C579" s="30"/>
      <c r="D579" s="30"/>
      <c r="E579" s="30"/>
      <c r="F579" s="30"/>
      <c r="G579" s="44"/>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row>
    <row r="580" ht="12.75" customHeight="1">
      <c r="A580" s="30"/>
      <c r="B580" s="30"/>
      <c r="C580" s="30"/>
      <c r="D580" s="30"/>
      <c r="E580" s="30"/>
      <c r="F580" s="30"/>
      <c r="G580" s="44"/>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row>
    <row r="581" ht="12.75" customHeight="1">
      <c r="A581" s="30"/>
      <c r="B581" s="30"/>
      <c r="C581" s="30"/>
      <c r="D581" s="30"/>
      <c r="E581" s="30"/>
      <c r="F581" s="30"/>
      <c r="G581" s="44"/>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row>
    <row r="582" ht="12.75" customHeight="1">
      <c r="A582" s="30"/>
      <c r="B582" s="30"/>
      <c r="C582" s="30"/>
      <c r="D582" s="30"/>
      <c r="E582" s="30"/>
      <c r="F582" s="30"/>
      <c r="G582" s="44"/>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row>
    <row r="583" ht="12.75" customHeight="1">
      <c r="A583" s="30"/>
      <c r="B583" s="30"/>
      <c r="C583" s="30"/>
      <c r="D583" s="30"/>
      <c r="E583" s="30"/>
      <c r="F583" s="30"/>
      <c r="G583" s="44"/>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row>
    <row r="584" ht="12.75" customHeight="1">
      <c r="A584" s="30"/>
      <c r="B584" s="30"/>
      <c r="C584" s="30"/>
      <c r="D584" s="30"/>
      <c r="E584" s="30"/>
      <c r="F584" s="30"/>
      <c r="G584" s="44"/>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row>
    <row r="585" ht="12.75" customHeight="1">
      <c r="A585" s="30"/>
      <c r="B585" s="30"/>
      <c r="C585" s="30"/>
      <c r="D585" s="30"/>
      <c r="E585" s="30"/>
      <c r="F585" s="30"/>
      <c r="G585" s="44"/>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row>
    <row r="586" ht="12.75" customHeight="1">
      <c r="A586" s="30"/>
      <c r="B586" s="30"/>
      <c r="C586" s="30"/>
      <c r="D586" s="30"/>
      <c r="E586" s="30"/>
      <c r="F586" s="30"/>
      <c r="G586" s="44"/>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row>
    <row r="587" ht="12.75" customHeight="1">
      <c r="A587" s="30"/>
      <c r="B587" s="30"/>
      <c r="C587" s="30"/>
      <c r="D587" s="30"/>
      <c r="E587" s="30"/>
      <c r="F587" s="30"/>
      <c r="G587" s="44"/>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row>
    <row r="588" ht="12.75" customHeight="1">
      <c r="A588" s="30"/>
      <c r="B588" s="30"/>
      <c r="C588" s="30"/>
      <c r="D588" s="30"/>
      <c r="E588" s="30"/>
      <c r="F588" s="30"/>
      <c r="G588" s="44"/>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row>
    <row r="589" ht="12.75" customHeight="1">
      <c r="A589" s="30"/>
      <c r="B589" s="30"/>
      <c r="C589" s="30"/>
      <c r="D589" s="30"/>
      <c r="E589" s="30"/>
      <c r="F589" s="30"/>
      <c r="G589" s="44"/>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row>
    <row r="590" ht="12.75" customHeight="1">
      <c r="A590" s="30"/>
      <c r="B590" s="30"/>
      <c r="C590" s="30"/>
      <c r="D590" s="30"/>
      <c r="E590" s="30"/>
      <c r="F590" s="30"/>
      <c r="G590" s="44"/>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row>
    <row r="591" ht="12.75" customHeight="1">
      <c r="A591" s="30"/>
      <c r="B591" s="30"/>
      <c r="C591" s="30"/>
      <c r="D591" s="30"/>
      <c r="E591" s="30"/>
      <c r="F591" s="30"/>
      <c r="G591" s="44"/>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row>
    <row r="592" ht="12.75" customHeight="1">
      <c r="A592" s="30"/>
      <c r="B592" s="30"/>
      <c r="C592" s="30"/>
      <c r="D592" s="30"/>
      <c r="E592" s="30"/>
      <c r="F592" s="30"/>
      <c r="G592" s="44"/>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row>
    <row r="593" ht="12.75" customHeight="1">
      <c r="A593" s="30"/>
      <c r="B593" s="30"/>
      <c r="C593" s="30"/>
      <c r="D593" s="30"/>
      <c r="E593" s="30"/>
      <c r="F593" s="30"/>
      <c r="G593" s="44"/>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row>
    <row r="594" ht="12.75" customHeight="1">
      <c r="A594" s="30"/>
      <c r="B594" s="30"/>
      <c r="C594" s="30"/>
      <c r="D594" s="30"/>
      <c r="E594" s="30"/>
      <c r="F594" s="30"/>
      <c r="G594" s="44"/>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row>
    <row r="595" ht="12.75" customHeight="1">
      <c r="A595" s="30"/>
      <c r="B595" s="30"/>
      <c r="C595" s="30"/>
      <c r="D595" s="30"/>
      <c r="E595" s="30"/>
      <c r="F595" s="30"/>
      <c r="G595" s="44"/>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row>
    <row r="596" ht="12.75" customHeight="1">
      <c r="A596" s="30"/>
      <c r="B596" s="30"/>
      <c r="C596" s="30"/>
      <c r="D596" s="30"/>
      <c r="E596" s="30"/>
      <c r="F596" s="30"/>
      <c r="G596" s="44"/>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row>
    <row r="597" ht="12.75" customHeight="1">
      <c r="A597" s="30"/>
      <c r="B597" s="30"/>
      <c r="C597" s="30"/>
      <c r="D597" s="30"/>
      <c r="E597" s="30"/>
      <c r="F597" s="30"/>
      <c r="G597" s="44"/>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row>
    <row r="598" ht="12.75" customHeight="1">
      <c r="A598" s="30"/>
      <c r="B598" s="30"/>
      <c r="C598" s="30"/>
      <c r="D598" s="30"/>
      <c r="E598" s="30"/>
      <c r="F598" s="30"/>
      <c r="G598" s="44"/>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row>
    <row r="599" ht="12.75" customHeight="1">
      <c r="A599" s="30"/>
      <c r="B599" s="30"/>
      <c r="C599" s="30"/>
      <c r="D599" s="30"/>
      <c r="E599" s="30"/>
      <c r="F599" s="30"/>
      <c r="G599" s="44"/>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row>
    <row r="600" ht="12.75" customHeight="1">
      <c r="A600" s="30"/>
      <c r="B600" s="30"/>
      <c r="C600" s="30"/>
      <c r="D600" s="30"/>
      <c r="E600" s="30"/>
      <c r="F600" s="30"/>
      <c r="G600" s="44"/>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row>
    <row r="601" ht="12.75" customHeight="1">
      <c r="A601" s="30"/>
      <c r="B601" s="30"/>
      <c r="C601" s="30"/>
      <c r="D601" s="30"/>
      <c r="E601" s="30"/>
      <c r="F601" s="30"/>
      <c r="G601" s="44"/>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row>
    <row r="602" ht="12.75" customHeight="1">
      <c r="A602" s="30"/>
      <c r="B602" s="30"/>
      <c r="C602" s="30"/>
      <c r="D602" s="30"/>
      <c r="E602" s="30"/>
      <c r="F602" s="30"/>
      <c r="G602" s="44"/>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row>
    <row r="603" ht="12.75" customHeight="1">
      <c r="A603" s="30"/>
      <c r="B603" s="30"/>
      <c r="C603" s="30"/>
      <c r="D603" s="30"/>
      <c r="E603" s="30"/>
      <c r="F603" s="30"/>
      <c r="G603" s="44"/>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row>
    <row r="604" ht="12.75" customHeight="1">
      <c r="A604" s="30"/>
      <c r="B604" s="30"/>
      <c r="C604" s="30"/>
      <c r="D604" s="30"/>
      <c r="E604" s="30"/>
      <c r="F604" s="30"/>
      <c r="G604" s="44"/>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row>
    <row r="605" ht="12.75" customHeight="1">
      <c r="A605" s="30"/>
      <c r="B605" s="30"/>
      <c r="C605" s="30"/>
      <c r="D605" s="30"/>
      <c r="E605" s="30"/>
      <c r="F605" s="30"/>
      <c r="G605" s="44"/>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row>
    <row r="606" ht="12.75" customHeight="1">
      <c r="A606" s="30"/>
      <c r="B606" s="30"/>
      <c r="C606" s="30"/>
      <c r="D606" s="30"/>
      <c r="E606" s="30"/>
      <c r="F606" s="30"/>
      <c r="G606" s="44"/>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row>
    <row r="607" ht="12.75" customHeight="1">
      <c r="A607" s="30"/>
      <c r="B607" s="30"/>
      <c r="C607" s="30"/>
      <c r="D607" s="30"/>
      <c r="E607" s="30"/>
      <c r="F607" s="30"/>
      <c r="G607" s="44"/>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row>
    <row r="608" ht="12.75" customHeight="1">
      <c r="A608" s="30"/>
      <c r="B608" s="30"/>
      <c r="C608" s="30"/>
      <c r="D608" s="30"/>
      <c r="E608" s="30"/>
      <c r="F608" s="30"/>
      <c r="G608" s="44"/>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row>
    <row r="609" ht="12.75" customHeight="1">
      <c r="A609" s="30"/>
      <c r="B609" s="30"/>
      <c r="C609" s="30"/>
      <c r="D609" s="30"/>
      <c r="E609" s="30"/>
      <c r="F609" s="30"/>
      <c r="G609" s="44"/>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row>
    <row r="610" ht="12.75" customHeight="1">
      <c r="A610" s="30"/>
      <c r="B610" s="30"/>
      <c r="C610" s="30"/>
      <c r="D610" s="30"/>
      <c r="E610" s="30"/>
      <c r="F610" s="30"/>
      <c r="G610" s="44"/>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row>
    <row r="611" ht="12.75" customHeight="1">
      <c r="A611" s="30"/>
      <c r="B611" s="30"/>
      <c r="C611" s="30"/>
      <c r="D611" s="30"/>
      <c r="E611" s="30"/>
      <c r="F611" s="30"/>
      <c r="G611" s="44"/>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row>
    <row r="612" ht="12.75" customHeight="1">
      <c r="A612" s="30"/>
      <c r="B612" s="30"/>
      <c r="C612" s="30"/>
      <c r="D612" s="30"/>
      <c r="E612" s="30"/>
      <c r="F612" s="30"/>
      <c r="G612" s="44"/>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row>
    <row r="613" ht="12.75" customHeight="1">
      <c r="A613" s="30"/>
      <c r="B613" s="30"/>
      <c r="C613" s="30"/>
      <c r="D613" s="30"/>
      <c r="E613" s="30"/>
      <c r="F613" s="30"/>
      <c r="G613" s="44"/>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row>
    <row r="614" ht="12.75" customHeight="1">
      <c r="A614" s="30"/>
      <c r="B614" s="30"/>
      <c r="C614" s="30"/>
      <c r="D614" s="30"/>
      <c r="E614" s="30"/>
      <c r="F614" s="30"/>
      <c r="G614" s="44"/>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row>
    <row r="615" ht="12.75" customHeight="1">
      <c r="A615" s="30"/>
      <c r="B615" s="30"/>
      <c r="C615" s="30"/>
      <c r="D615" s="30"/>
      <c r="E615" s="30"/>
      <c r="F615" s="30"/>
      <c r="G615" s="44"/>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row>
    <row r="616" ht="12.75" customHeight="1">
      <c r="A616" s="30"/>
      <c r="B616" s="30"/>
      <c r="C616" s="30"/>
      <c r="D616" s="30"/>
      <c r="E616" s="30"/>
      <c r="F616" s="30"/>
      <c r="G616" s="44"/>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row>
    <row r="617" ht="12.75" customHeight="1">
      <c r="A617" s="30"/>
      <c r="B617" s="30"/>
      <c r="C617" s="30"/>
      <c r="D617" s="30"/>
      <c r="E617" s="30"/>
      <c r="F617" s="30"/>
      <c r="G617" s="44"/>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row>
    <row r="618" ht="12.75" customHeight="1">
      <c r="A618" s="30"/>
      <c r="B618" s="30"/>
      <c r="C618" s="30"/>
      <c r="D618" s="30"/>
      <c r="E618" s="30"/>
      <c r="F618" s="30"/>
      <c r="G618" s="44"/>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row>
    <row r="619" ht="12.75" customHeight="1">
      <c r="A619" s="30"/>
      <c r="B619" s="30"/>
      <c r="C619" s="30"/>
      <c r="D619" s="30"/>
      <c r="E619" s="30"/>
      <c r="F619" s="30"/>
      <c r="G619" s="44"/>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row>
    <row r="620" ht="12.75" customHeight="1">
      <c r="A620" s="30"/>
      <c r="B620" s="30"/>
      <c r="C620" s="30"/>
      <c r="D620" s="30"/>
      <c r="E620" s="30"/>
      <c r="F620" s="30"/>
      <c r="G620" s="44"/>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row>
    <row r="621" ht="12.75" customHeight="1">
      <c r="A621" s="30"/>
      <c r="B621" s="30"/>
      <c r="C621" s="30"/>
      <c r="D621" s="30"/>
      <c r="E621" s="30"/>
      <c r="F621" s="30"/>
      <c r="G621" s="44"/>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row>
    <row r="622" ht="12.75" customHeight="1">
      <c r="A622" s="30"/>
      <c r="B622" s="30"/>
      <c r="C622" s="30"/>
      <c r="D622" s="30"/>
      <c r="E622" s="30"/>
      <c r="F622" s="30"/>
      <c r="G622" s="44"/>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row>
    <row r="623" ht="12.75" customHeight="1">
      <c r="A623" s="30"/>
      <c r="B623" s="30"/>
      <c r="C623" s="30"/>
      <c r="D623" s="30"/>
      <c r="E623" s="30"/>
      <c r="F623" s="30"/>
      <c r="G623" s="44"/>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row>
    <row r="624" ht="12.75" customHeight="1">
      <c r="A624" s="30"/>
      <c r="B624" s="30"/>
      <c r="C624" s="30"/>
      <c r="D624" s="30"/>
      <c r="E624" s="30"/>
      <c r="F624" s="30"/>
      <c r="G624" s="44"/>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row>
    <row r="625" ht="12.75" customHeight="1">
      <c r="A625" s="30"/>
      <c r="B625" s="30"/>
      <c r="C625" s="30"/>
      <c r="D625" s="30"/>
      <c r="E625" s="30"/>
      <c r="F625" s="30"/>
      <c r="G625" s="44"/>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row>
    <row r="626" ht="12.75" customHeight="1">
      <c r="A626" s="30"/>
      <c r="B626" s="30"/>
      <c r="C626" s="30"/>
      <c r="D626" s="30"/>
      <c r="E626" s="30"/>
      <c r="F626" s="30"/>
      <c r="G626" s="44"/>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row>
    <row r="627" ht="12.75" customHeight="1">
      <c r="A627" s="30"/>
      <c r="B627" s="30"/>
      <c r="C627" s="30"/>
      <c r="D627" s="30"/>
      <c r="E627" s="30"/>
      <c r="F627" s="30"/>
      <c r="G627" s="44"/>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row>
    <row r="628" ht="12.75" customHeight="1">
      <c r="A628" s="30"/>
      <c r="B628" s="30"/>
      <c r="C628" s="30"/>
      <c r="D628" s="30"/>
      <c r="E628" s="30"/>
      <c r="F628" s="30"/>
      <c r="G628" s="44"/>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row>
    <row r="629" ht="12.75" customHeight="1">
      <c r="A629" s="30"/>
      <c r="B629" s="30"/>
      <c r="C629" s="30"/>
      <c r="D629" s="30"/>
      <c r="E629" s="30"/>
      <c r="F629" s="30"/>
      <c r="G629" s="44"/>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row>
    <row r="630" ht="12.75" customHeight="1">
      <c r="A630" s="30"/>
      <c r="B630" s="30"/>
      <c r="C630" s="30"/>
      <c r="D630" s="30"/>
      <c r="E630" s="30"/>
      <c r="F630" s="30"/>
      <c r="G630" s="44"/>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row>
    <row r="631" ht="12.75" customHeight="1">
      <c r="A631" s="30"/>
      <c r="B631" s="30"/>
      <c r="C631" s="30"/>
      <c r="D631" s="30"/>
      <c r="E631" s="30"/>
      <c r="F631" s="30"/>
      <c r="G631" s="44"/>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row>
    <row r="632" ht="12.75" customHeight="1">
      <c r="A632" s="30"/>
      <c r="B632" s="30"/>
      <c r="C632" s="30"/>
      <c r="D632" s="30"/>
      <c r="E632" s="30"/>
      <c r="F632" s="30"/>
      <c r="G632" s="44"/>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row>
    <row r="633" ht="12.75" customHeight="1">
      <c r="A633" s="30"/>
      <c r="B633" s="30"/>
      <c r="C633" s="30"/>
      <c r="D633" s="30"/>
      <c r="E633" s="30"/>
      <c r="F633" s="30"/>
      <c r="G633" s="44"/>
      <c r="H633" s="30"/>
      <c r="I633" s="30"/>
      <c r="J633" s="30"/>
      <c r="K633" s="30"/>
      <c r="L633" s="30"/>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c r="AQ633" s="30"/>
      <c r="AR633" s="30"/>
      <c r="AS633" s="30"/>
      <c r="AT633" s="30"/>
    </row>
    <row r="634" ht="12.75" customHeight="1">
      <c r="A634" s="30"/>
      <c r="B634" s="30"/>
      <c r="C634" s="30"/>
      <c r="D634" s="30"/>
      <c r="E634" s="30"/>
      <c r="F634" s="30"/>
      <c r="G634" s="44"/>
      <c r="H634" s="30"/>
      <c r="I634" s="30"/>
      <c r="J634" s="30"/>
      <c r="K634" s="30"/>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row>
    <row r="635" ht="12.75" customHeight="1">
      <c r="A635" s="30"/>
      <c r="B635" s="30"/>
      <c r="C635" s="30"/>
      <c r="D635" s="30"/>
      <c r="E635" s="30"/>
      <c r="F635" s="30"/>
      <c r="G635" s="44"/>
      <c r="H635" s="30"/>
      <c r="I635" s="30"/>
      <c r="J635" s="30"/>
      <c r="K635" s="30"/>
      <c r="L635" s="30"/>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c r="AQ635" s="30"/>
      <c r="AR635" s="30"/>
      <c r="AS635" s="30"/>
      <c r="AT635" s="30"/>
    </row>
    <row r="636" ht="12.75" customHeight="1">
      <c r="A636" s="30"/>
      <c r="B636" s="30"/>
      <c r="C636" s="30"/>
      <c r="D636" s="30"/>
      <c r="E636" s="30"/>
      <c r="F636" s="30"/>
      <c r="G636" s="44"/>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row>
    <row r="637" ht="12.75" customHeight="1">
      <c r="A637" s="30"/>
      <c r="B637" s="30"/>
      <c r="C637" s="30"/>
      <c r="D637" s="30"/>
      <c r="E637" s="30"/>
      <c r="F637" s="30"/>
      <c r="G637" s="44"/>
      <c r="H637" s="30"/>
      <c r="I637" s="30"/>
      <c r="J637" s="30"/>
      <c r="K637" s="30"/>
      <c r="L637" s="30"/>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c r="AQ637" s="30"/>
      <c r="AR637" s="30"/>
      <c r="AS637" s="30"/>
      <c r="AT637" s="30"/>
    </row>
    <row r="638" ht="12.75" customHeight="1">
      <c r="A638" s="30"/>
      <c r="B638" s="30"/>
      <c r="C638" s="30"/>
      <c r="D638" s="30"/>
      <c r="E638" s="30"/>
      <c r="F638" s="30"/>
      <c r="G638" s="44"/>
      <c r="H638" s="30"/>
      <c r="I638" s="30"/>
      <c r="J638" s="30"/>
      <c r="K638" s="30"/>
      <c r="L638" s="30"/>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c r="AQ638" s="30"/>
      <c r="AR638" s="30"/>
      <c r="AS638" s="30"/>
      <c r="AT638" s="30"/>
    </row>
    <row r="639" ht="12.75" customHeight="1">
      <c r="A639" s="30"/>
      <c r="B639" s="30"/>
      <c r="C639" s="30"/>
      <c r="D639" s="30"/>
      <c r="E639" s="30"/>
      <c r="F639" s="30"/>
      <c r="G639" s="44"/>
      <c r="H639" s="30"/>
      <c r="I639" s="30"/>
      <c r="J639" s="30"/>
      <c r="K639" s="30"/>
      <c r="L639" s="30"/>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c r="AQ639" s="30"/>
      <c r="AR639" s="30"/>
      <c r="AS639" s="30"/>
      <c r="AT639" s="30"/>
    </row>
    <row r="640" ht="12.75" customHeight="1">
      <c r="A640" s="30"/>
      <c r="B640" s="30"/>
      <c r="C640" s="30"/>
      <c r="D640" s="30"/>
      <c r="E640" s="30"/>
      <c r="F640" s="30"/>
      <c r="G640" s="44"/>
      <c r="H640" s="30"/>
      <c r="I640" s="30"/>
      <c r="J640" s="30"/>
      <c r="K640" s="30"/>
      <c r="L640" s="30"/>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row>
    <row r="641" ht="12.75" customHeight="1">
      <c r="A641" s="30"/>
      <c r="B641" s="30"/>
      <c r="C641" s="30"/>
      <c r="D641" s="30"/>
      <c r="E641" s="30"/>
      <c r="F641" s="30"/>
      <c r="G641" s="44"/>
      <c r="H641" s="30"/>
      <c r="I641" s="30"/>
      <c r="J641" s="30"/>
      <c r="K641" s="30"/>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row>
    <row r="642" ht="12.75" customHeight="1">
      <c r="A642" s="30"/>
      <c r="B642" s="30"/>
      <c r="C642" s="30"/>
      <c r="D642" s="30"/>
      <c r="E642" s="30"/>
      <c r="F642" s="30"/>
      <c r="G642" s="44"/>
      <c r="H642" s="30"/>
      <c r="I642" s="30"/>
      <c r="J642" s="30"/>
      <c r="K642" s="30"/>
      <c r="L642" s="30"/>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c r="AQ642" s="30"/>
      <c r="AR642" s="30"/>
      <c r="AS642" s="30"/>
      <c r="AT642" s="30"/>
    </row>
    <row r="643" ht="12.75" customHeight="1">
      <c r="A643" s="30"/>
      <c r="B643" s="30"/>
      <c r="C643" s="30"/>
      <c r="D643" s="30"/>
      <c r="E643" s="30"/>
      <c r="F643" s="30"/>
      <c r="G643" s="44"/>
      <c r="H643" s="30"/>
      <c r="I643" s="30"/>
      <c r="J643" s="30"/>
      <c r="K643" s="30"/>
      <c r="L643" s="30"/>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c r="AQ643" s="30"/>
      <c r="AR643" s="30"/>
      <c r="AS643" s="30"/>
      <c r="AT643" s="30"/>
    </row>
    <row r="644" ht="12.75" customHeight="1">
      <c r="A644" s="30"/>
      <c r="B644" s="30"/>
      <c r="C644" s="30"/>
      <c r="D644" s="30"/>
      <c r="E644" s="30"/>
      <c r="F644" s="30"/>
      <c r="G644" s="44"/>
      <c r="H644" s="30"/>
      <c r="I644" s="30"/>
      <c r="J644" s="30"/>
      <c r="K644" s="30"/>
      <c r="L644" s="30"/>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c r="AQ644" s="30"/>
      <c r="AR644" s="30"/>
      <c r="AS644" s="30"/>
      <c r="AT644" s="30"/>
    </row>
    <row r="645" ht="12.75" customHeight="1">
      <c r="A645" s="30"/>
      <c r="B645" s="30"/>
      <c r="C645" s="30"/>
      <c r="D645" s="30"/>
      <c r="E645" s="30"/>
      <c r="F645" s="30"/>
      <c r="G645" s="44"/>
      <c r="H645" s="30"/>
      <c r="I645" s="30"/>
      <c r="J645" s="30"/>
      <c r="K645" s="30"/>
      <c r="L645" s="30"/>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c r="AQ645" s="30"/>
      <c r="AR645" s="30"/>
      <c r="AS645" s="30"/>
      <c r="AT645" s="30"/>
    </row>
    <row r="646" ht="12.75" customHeight="1">
      <c r="A646" s="30"/>
      <c r="B646" s="30"/>
      <c r="C646" s="30"/>
      <c r="D646" s="30"/>
      <c r="E646" s="30"/>
      <c r="F646" s="30"/>
      <c r="G646" s="44"/>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row>
    <row r="647" ht="12.75" customHeight="1">
      <c r="A647" s="30"/>
      <c r="B647" s="30"/>
      <c r="C647" s="30"/>
      <c r="D647" s="30"/>
      <c r="E647" s="30"/>
      <c r="F647" s="30"/>
      <c r="G647" s="44"/>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c r="AQ647" s="30"/>
      <c r="AR647" s="30"/>
      <c r="AS647" s="30"/>
      <c r="AT647" s="30"/>
    </row>
    <row r="648" ht="12.75" customHeight="1">
      <c r="A648" s="30"/>
      <c r="B648" s="30"/>
      <c r="C648" s="30"/>
      <c r="D648" s="30"/>
      <c r="E648" s="30"/>
      <c r="F648" s="30"/>
      <c r="G648" s="44"/>
      <c r="H648" s="30"/>
      <c r="I648" s="30"/>
      <c r="J648" s="30"/>
      <c r="K648" s="30"/>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row>
    <row r="649" ht="12.75" customHeight="1">
      <c r="A649" s="30"/>
      <c r="B649" s="30"/>
      <c r="C649" s="30"/>
      <c r="D649" s="30"/>
      <c r="E649" s="30"/>
      <c r="F649" s="30"/>
      <c r="G649" s="44"/>
      <c r="H649" s="30"/>
      <c r="I649" s="30"/>
      <c r="J649" s="30"/>
      <c r="K649" s="30"/>
      <c r="L649" s="30"/>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c r="AQ649" s="30"/>
      <c r="AR649" s="30"/>
      <c r="AS649" s="30"/>
      <c r="AT649" s="30"/>
    </row>
    <row r="650" ht="12.75" customHeight="1">
      <c r="A650" s="30"/>
      <c r="B650" s="30"/>
      <c r="C650" s="30"/>
      <c r="D650" s="30"/>
      <c r="E650" s="30"/>
      <c r="F650" s="30"/>
      <c r="G650" s="44"/>
      <c r="H650" s="30"/>
      <c r="I650" s="30"/>
      <c r="J650" s="30"/>
      <c r="K650" s="30"/>
      <c r="L650" s="30"/>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c r="AQ650" s="30"/>
      <c r="AR650" s="30"/>
      <c r="AS650" s="30"/>
      <c r="AT650" s="30"/>
    </row>
    <row r="651" ht="12.75" customHeight="1">
      <c r="A651" s="30"/>
      <c r="B651" s="30"/>
      <c r="C651" s="30"/>
      <c r="D651" s="30"/>
      <c r="E651" s="30"/>
      <c r="F651" s="30"/>
      <c r="G651" s="44"/>
      <c r="H651" s="30"/>
      <c r="I651" s="30"/>
      <c r="J651" s="30"/>
      <c r="K651" s="30"/>
      <c r="L651" s="30"/>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c r="AQ651" s="30"/>
      <c r="AR651" s="30"/>
      <c r="AS651" s="30"/>
      <c r="AT651" s="30"/>
    </row>
    <row r="652" ht="12.75" customHeight="1">
      <c r="A652" s="30"/>
      <c r="B652" s="30"/>
      <c r="C652" s="30"/>
      <c r="D652" s="30"/>
      <c r="E652" s="30"/>
      <c r="F652" s="30"/>
      <c r="G652" s="44"/>
      <c r="H652" s="30"/>
      <c r="I652" s="30"/>
      <c r="J652" s="30"/>
      <c r="K652" s="30"/>
      <c r="L652" s="30"/>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c r="AQ652" s="30"/>
      <c r="AR652" s="30"/>
      <c r="AS652" s="30"/>
      <c r="AT652" s="30"/>
    </row>
    <row r="653" ht="12.75" customHeight="1">
      <c r="A653" s="30"/>
      <c r="B653" s="30"/>
      <c r="C653" s="30"/>
      <c r="D653" s="30"/>
      <c r="E653" s="30"/>
      <c r="F653" s="30"/>
      <c r="G653" s="44"/>
      <c r="H653" s="30"/>
      <c r="I653" s="30"/>
      <c r="J653" s="30"/>
      <c r="K653" s="30"/>
      <c r="L653" s="30"/>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c r="AQ653" s="30"/>
      <c r="AR653" s="30"/>
      <c r="AS653" s="30"/>
      <c r="AT653" s="30"/>
    </row>
    <row r="654" ht="12.75" customHeight="1">
      <c r="A654" s="30"/>
      <c r="B654" s="30"/>
      <c r="C654" s="30"/>
      <c r="D654" s="30"/>
      <c r="E654" s="30"/>
      <c r="F654" s="30"/>
      <c r="G654" s="44"/>
      <c r="H654" s="30"/>
      <c r="I654" s="30"/>
      <c r="J654" s="30"/>
      <c r="K654" s="30"/>
      <c r="L654" s="30"/>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row>
    <row r="655" ht="12.75" customHeight="1">
      <c r="A655" s="30"/>
      <c r="B655" s="30"/>
      <c r="C655" s="30"/>
      <c r="D655" s="30"/>
      <c r="E655" s="30"/>
      <c r="F655" s="30"/>
      <c r="G655" s="44"/>
      <c r="H655" s="30"/>
      <c r="I655" s="30"/>
      <c r="J655" s="30"/>
      <c r="K655" s="30"/>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c r="AQ655" s="30"/>
      <c r="AR655" s="30"/>
      <c r="AS655" s="30"/>
      <c r="AT655" s="30"/>
    </row>
    <row r="656" ht="12.75" customHeight="1">
      <c r="A656" s="30"/>
      <c r="B656" s="30"/>
      <c r="C656" s="30"/>
      <c r="D656" s="30"/>
      <c r="E656" s="30"/>
      <c r="F656" s="30"/>
      <c r="G656" s="44"/>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row>
    <row r="657" ht="12.75" customHeight="1">
      <c r="A657" s="30"/>
      <c r="B657" s="30"/>
      <c r="C657" s="30"/>
      <c r="D657" s="30"/>
      <c r="E657" s="30"/>
      <c r="F657" s="30"/>
      <c r="G657" s="44"/>
      <c r="H657" s="30"/>
      <c r="I657" s="30"/>
      <c r="J657" s="30"/>
      <c r="K657" s="30"/>
      <c r="L657" s="30"/>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c r="AQ657" s="30"/>
      <c r="AR657" s="30"/>
      <c r="AS657" s="30"/>
      <c r="AT657" s="30"/>
    </row>
    <row r="658" ht="12.75" customHeight="1">
      <c r="A658" s="30"/>
      <c r="B658" s="30"/>
      <c r="C658" s="30"/>
      <c r="D658" s="30"/>
      <c r="E658" s="30"/>
      <c r="F658" s="30"/>
      <c r="G658" s="44"/>
      <c r="H658" s="30"/>
      <c r="I658" s="30"/>
      <c r="J658" s="30"/>
      <c r="K658" s="30"/>
      <c r="L658" s="30"/>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c r="AQ658" s="30"/>
      <c r="AR658" s="30"/>
      <c r="AS658" s="30"/>
      <c r="AT658" s="30"/>
    </row>
    <row r="659" ht="12.75" customHeight="1">
      <c r="A659" s="30"/>
      <c r="B659" s="30"/>
      <c r="C659" s="30"/>
      <c r="D659" s="30"/>
      <c r="E659" s="30"/>
      <c r="F659" s="30"/>
      <c r="G659" s="44"/>
      <c r="H659" s="30"/>
      <c r="I659" s="30"/>
      <c r="J659" s="30"/>
      <c r="K659" s="30"/>
      <c r="L659" s="30"/>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c r="AQ659" s="30"/>
      <c r="AR659" s="30"/>
      <c r="AS659" s="30"/>
      <c r="AT659" s="30"/>
    </row>
    <row r="660" ht="12.75" customHeight="1">
      <c r="A660" s="30"/>
      <c r="B660" s="30"/>
      <c r="C660" s="30"/>
      <c r="D660" s="30"/>
      <c r="E660" s="30"/>
      <c r="F660" s="30"/>
      <c r="G660" s="44"/>
      <c r="H660" s="30"/>
      <c r="I660" s="30"/>
      <c r="J660" s="30"/>
      <c r="K660" s="30"/>
      <c r="L660" s="30"/>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c r="AQ660" s="30"/>
      <c r="AR660" s="30"/>
      <c r="AS660" s="30"/>
      <c r="AT660" s="30"/>
    </row>
    <row r="661" ht="12.75" customHeight="1">
      <c r="A661" s="30"/>
      <c r="B661" s="30"/>
      <c r="C661" s="30"/>
      <c r="D661" s="30"/>
      <c r="E661" s="30"/>
      <c r="F661" s="30"/>
      <c r="G661" s="44"/>
      <c r="H661" s="30"/>
      <c r="I661" s="30"/>
      <c r="J661" s="30"/>
      <c r="K661" s="30"/>
      <c r="L661" s="30"/>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c r="AQ661" s="30"/>
      <c r="AR661" s="30"/>
      <c r="AS661" s="30"/>
      <c r="AT661" s="30"/>
    </row>
    <row r="662" ht="12.75" customHeight="1">
      <c r="A662" s="30"/>
      <c r="B662" s="30"/>
      <c r="C662" s="30"/>
      <c r="D662" s="30"/>
      <c r="E662" s="30"/>
      <c r="F662" s="30"/>
      <c r="G662" s="44"/>
      <c r="H662" s="30"/>
      <c r="I662" s="30"/>
      <c r="J662" s="30"/>
      <c r="K662" s="30"/>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c r="AQ662" s="30"/>
      <c r="AR662" s="30"/>
      <c r="AS662" s="30"/>
      <c r="AT662" s="30"/>
    </row>
    <row r="663" ht="12.75" customHeight="1">
      <c r="A663" s="30"/>
      <c r="B663" s="30"/>
      <c r="C663" s="30"/>
      <c r="D663" s="30"/>
      <c r="E663" s="30"/>
      <c r="F663" s="30"/>
      <c r="G663" s="44"/>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c r="AQ663" s="30"/>
      <c r="AR663" s="30"/>
      <c r="AS663" s="30"/>
      <c r="AT663" s="30"/>
    </row>
    <row r="664" ht="12.75" customHeight="1">
      <c r="A664" s="30"/>
      <c r="B664" s="30"/>
      <c r="C664" s="30"/>
      <c r="D664" s="30"/>
      <c r="E664" s="30"/>
      <c r="F664" s="30"/>
      <c r="G664" s="44"/>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c r="AQ664" s="30"/>
      <c r="AR664" s="30"/>
      <c r="AS664" s="30"/>
      <c r="AT664" s="30"/>
    </row>
    <row r="665" ht="12.75" customHeight="1">
      <c r="A665" s="30"/>
      <c r="B665" s="30"/>
      <c r="C665" s="30"/>
      <c r="D665" s="30"/>
      <c r="E665" s="30"/>
      <c r="F665" s="30"/>
      <c r="G665" s="44"/>
      <c r="H665" s="30"/>
      <c r="I665" s="30"/>
      <c r="J665" s="30"/>
      <c r="K665" s="30"/>
      <c r="L665" s="30"/>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c r="AQ665" s="30"/>
      <c r="AR665" s="30"/>
      <c r="AS665" s="30"/>
      <c r="AT665" s="30"/>
    </row>
    <row r="666" ht="12.75" customHeight="1">
      <c r="A666" s="30"/>
      <c r="B666" s="30"/>
      <c r="C666" s="30"/>
      <c r="D666" s="30"/>
      <c r="E666" s="30"/>
      <c r="F666" s="30"/>
      <c r="G666" s="44"/>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row>
    <row r="667" ht="12.75" customHeight="1">
      <c r="A667" s="30"/>
      <c r="B667" s="30"/>
      <c r="C667" s="30"/>
      <c r="D667" s="30"/>
      <c r="E667" s="30"/>
      <c r="F667" s="30"/>
      <c r="G667" s="44"/>
      <c r="H667" s="30"/>
      <c r="I667" s="30"/>
      <c r="J667" s="30"/>
      <c r="K667" s="30"/>
      <c r="L667" s="30"/>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c r="AQ667" s="30"/>
      <c r="AR667" s="30"/>
      <c r="AS667" s="30"/>
      <c r="AT667" s="30"/>
    </row>
    <row r="668" ht="12.75" customHeight="1">
      <c r="A668" s="30"/>
      <c r="B668" s="30"/>
      <c r="C668" s="30"/>
      <c r="D668" s="30"/>
      <c r="E668" s="30"/>
      <c r="F668" s="30"/>
      <c r="G668" s="44"/>
      <c r="H668" s="30"/>
      <c r="I668" s="30"/>
      <c r="J668" s="30"/>
      <c r="K668" s="30"/>
      <c r="L668" s="30"/>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c r="AQ668" s="30"/>
      <c r="AR668" s="30"/>
      <c r="AS668" s="30"/>
      <c r="AT668" s="30"/>
    </row>
    <row r="669" ht="12.75" customHeight="1">
      <c r="A669" s="30"/>
      <c r="B669" s="30"/>
      <c r="C669" s="30"/>
      <c r="D669" s="30"/>
      <c r="E669" s="30"/>
      <c r="F669" s="30"/>
      <c r="G669" s="44"/>
      <c r="H669" s="30"/>
      <c r="I669" s="30"/>
      <c r="J669" s="30"/>
      <c r="K669" s="30"/>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c r="AQ669" s="30"/>
      <c r="AR669" s="30"/>
      <c r="AS669" s="30"/>
      <c r="AT669" s="30"/>
    </row>
    <row r="670" ht="12.75" customHeight="1">
      <c r="A670" s="30"/>
      <c r="B670" s="30"/>
      <c r="C670" s="30"/>
      <c r="D670" s="30"/>
      <c r="E670" s="30"/>
      <c r="F670" s="30"/>
      <c r="G670" s="44"/>
      <c r="H670" s="30"/>
      <c r="I670" s="30"/>
      <c r="J670" s="30"/>
      <c r="K670" s="30"/>
      <c r="L670" s="30"/>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c r="AQ670" s="30"/>
      <c r="AR670" s="30"/>
      <c r="AS670" s="30"/>
      <c r="AT670" s="30"/>
    </row>
    <row r="671" ht="12.75" customHeight="1">
      <c r="A671" s="30"/>
      <c r="B671" s="30"/>
      <c r="C671" s="30"/>
      <c r="D671" s="30"/>
      <c r="E671" s="30"/>
      <c r="F671" s="30"/>
      <c r="G671" s="44"/>
      <c r="H671" s="30"/>
      <c r="I671" s="30"/>
      <c r="J671" s="30"/>
      <c r="K671" s="30"/>
      <c r="L671" s="30"/>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c r="AQ671" s="30"/>
      <c r="AR671" s="30"/>
      <c r="AS671" s="30"/>
      <c r="AT671" s="30"/>
    </row>
    <row r="672" ht="12.75" customHeight="1">
      <c r="A672" s="30"/>
      <c r="B672" s="30"/>
      <c r="C672" s="30"/>
      <c r="D672" s="30"/>
      <c r="E672" s="30"/>
      <c r="F672" s="30"/>
      <c r="G672" s="44"/>
      <c r="H672" s="30"/>
      <c r="I672" s="30"/>
      <c r="J672" s="30"/>
      <c r="K672" s="30"/>
      <c r="L672" s="30"/>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c r="AQ672" s="30"/>
      <c r="AR672" s="30"/>
      <c r="AS672" s="30"/>
      <c r="AT672" s="30"/>
    </row>
    <row r="673" ht="12.75" customHeight="1">
      <c r="A673" s="30"/>
      <c r="B673" s="30"/>
      <c r="C673" s="30"/>
      <c r="D673" s="30"/>
      <c r="E673" s="30"/>
      <c r="F673" s="30"/>
      <c r="G673" s="44"/>
      <c r="H673" s="30"/>
      <c r="I673" s="30"/>
      <c r="J673" s="30"/>
      <c r="K673" s="30"/>
      <c r="L673" s="30"/>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c r="AQ673" s="30"/>
      <c r="AR673" s="30"/>
      <c r="AS673" s="30"/>
      <c r="AT673" s="30"/>
    </row>
    <row r="674" ht="12.75" customHeight="1">
      <c r="A674" s="30"/>
      <c r="B674" s="30"/>
      <c r="C674" s="30"/>
      <c r="D674" s="30"/>
      <c r="E674" s="30"/>
      <c r="F674" s="30"/>
      <c r="G674" s="44"/>
      <c r="H674" s="30"/>
      <c r="I674" s="30"/>
      <c r="J674" s="30"/>
      <c r="K674" s="30"/>
      <c r="L674" s="30"/>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c r="AQ674" s="30"/>
      <c r="AR674" s="30"/>
      <c r="AS674" s="30"/>
      <c r="AT674" s="30"/>
    </row>
    <row r="675" ht="12.75" customHeight="1">
      <c r="A675" s="30"/>
      <c r="B675" s="30"/>
      <c r="C675" s="30"/>
      <c r="D675" s="30"/>
      <c r="E675" s="30"/>
      <c r="F675" s="30"/>
      <c r="G675" s="44"/>
      <c r="H675" s="30"/>
      <c r="I675" s="30"/>
      <c r="J675" s="30"/>
      <c r="K675" s="30"/>
      <c r="L675" s="30"/>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c r="AQ675" s="30"/>
      <c r="AR675" s="30"/>
      <c r="AS675" s="30"/>
      <c r="AT675" s="30"/>
    </row>
    <row r="676" ht="12.75" customHeight="1">
      <c r="A676" s="30"/>
      <c r="B676" s="30"/>
      <c r="C676" s="30"/>
      <c r="D676" s="30"/>
      <c r="E676" s="30"/>
      <c r="F676" s="30"/>
      <c r="G676" s="44"/>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row>
    <row r="677" ht="12.75" customHeight="1">
      <c r="A677" s="30"/>
      <c r="B677" s="30"/>
      <c r="C677" s="30"/>
      <c r="D677" s="30"/>
      <c r="E677" s="30"/>
      <c r="F677" s="30"/>
      <c r="G677" s="44"/>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c r="AQ677" s="30"/>
      <c r="AR677" s="30"/>
      <c r="AS677" s="30"/>
      <c r="AT677" s="30"/>
    </row>
    <row r="678" ht="12.75" customHeight="1">
      <c r="A678" s="30"/>
      <c r="B678" s="30"/>
      <c r="C678" s="30"/>
      <c r="D678" s="30"/>
      <c r="E678" s="30"/>
      <c r="F678" s="30"/>
      <c r="G678" s="44"/>
      <c r="H678" s="30"/>
      <c r="I678" s="30"/>
      <c r="J678" s="30"/>
      <c r="K678" s="30"/>
      <c r="L678" s="30"/>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c r="AQ678" s="30"/>
      <c r="AR678" s="30"/>
      <c r="AS678" s="30"/>
      <c r="AT678" s="30"/>
    </row>
    <row r="679" ht="12.75" customHeight="1">
      <c r="A679" s="30"/>
      <c r="B679" s="30"/>
      <c r="C679" s="30"/>
      <c r="D679" s="30"/>
      <c r="E679" s="30"/>
      <c r="F679" s="30"/>
      <c r="G679" s="44"/>
      <c r="H679" s="30"/>
      <c r="I679" s="30"/>
      <c r="J679" s="30"/>
      <c r="K679" s="30"/>
      <c r="L679" s="30"/>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c r="AQ679" s="30"/>
      <c r="AR679" s="30"/>
      <c r="AS679" s="30"/>
      <c r="AT679" s="30"/>
    </row>
    <row r="680" ht="12.75" customHeight="1">
      <c r="A680" s="30"/>
      <c r="B680" s="30"/>
      <c r="C680" s="30"/>
      <c r="D680" s="30"/>
      <c r="E680" s="30"/>
      <c r="F680" s="30"/>
      <c r="G680" s="44"/>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c r="AQ680" s="30"/>
      <c r="AR680" s="30"/>
      <c r="AS680" s="30"/>
      <c r="AT680" s="30"/>
    </row>
    <row r="681" ht="12.75" customHeight="1">
      <c r="A681" s="30"/>
      <c r="B681" s="30"/>
      <c r="C681" s="30"/>
      <c r="D681" s="30"/>
      <c r="E681" s="30"/>
      <c r="F681" s="30"/>
      <c r="G681" s="44"/>
      <c r="H681" s="30"/>
      <c r="I681" s="30"/>
      <c r="J681" s="30"/>
      <c r="K681" s="30"/>
      <c r="L681" s="30"/>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c r="AQ681" s="30"/>
      <c r="AR681" s="30"/>
      <c r="AS681" s="30"/>
      <c r="AT681" s="30"/>
    </row>
    <row r="682" ht="12.75" customHeight="1">
      <c r="A682" s="30"/>
      <c r="B682" s="30"/>
      <c r="C682" s="30"/>
      <c r="D682" s="30"/>
      <c r="E682" s="30"/>
      <c r="F682" s="30"/>
      <c r="G682" s="44"/>
      <c r="H682" s="30"/>
      <c r="I682" s="30"/>
      <c r="J682" s="30"/>
      <c r="K682" s="30"/>
      <c r="L682" s="30"/>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c r="AQ682" s="30"/>
      <c r="AR682" s="30"/>
      <c r="AS682" s="30"/>
      <c r="AT682" s="30"/>
    </row>
    <row r="683" ht="12.75" customHeight="1">
      <c r="A683" s="30"/>
      <c r="B683" s="30"/>
      <c r="C683" s="30"/>
      <c r="D683" s="30"/>
      <c r="E683" s="30"/>
      <c r="F683" s="30"/>
      <c r="G683" s="44"/>
      <c r="H683" s="30"/>
      <c r="I683" s="30"/>
      <c r="J683" s="30"/>
      <c r="K683" s="30"/>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row>
    <row r="684" ht="12.75" customHeight="1">
      <c r="A684" s="30"/>
      <c r="B684" s="30"/>
      <c r="C684" s="30"/>
      <c r="D684" s="30"/>
      <c r="E684" s="30"/>
      <c r="F684" s="30"/>
      <c r="G684" s="44"/>
      <c r="H684" s="30"/>
      <c r="I684" s="30"/>
      <c r="J684" s="30"/>
      <c r="K684" s="30"/>
      <c r="L684" s="30"/>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c r="AQ684" s="30"/>
      <c r="AR684" s="30"/>
      <c r="AS684" s="30"/>
      <c r="AT684" s="30"/>
    </row>
    <row r="685" ht="12.75" customHeight="1">
      <c r="A685" s="30"/>
      <c r="B685" s="30"/>
      <c r="C685" s="30"/>
      <c r="D685" s="30"/>
      <c r="E685" s="30"/>
      <c r="F685" s="30"/>
      <c r="G685" s="44"/>
      <c r="H685" s="30"/>
      <c r="I685" s="30"/>
      <c r="J685" s="30"/>
      <c r="K685" s="30"/>
      <c r="L685" s="30"/>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row>
    <row r="686" ht="12.75" customHeight="1">
      <c r="A686" s="30"/>
      <c r="B686" s="30"/>
      <c r="C686" s="30"/>
      <c r="D686" s="30"/>
      <c r="E686" s="30"/>
      <c r="F686" s="30"/>
      <c r="G686" s="44"/>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row>
    <row r="687" ht="12.75" customHeight="1">
      <c r="A687" s="30"/>
      <c r="B687" s="30"/>
      <c r="C687" s="30"/>
      <c r="D687" s="30"/>
      <c r="E687" s="30"/>
      <c r="F687" s="30"/>
      <c r="G687" s="44"/>
      <c r="H687" s="30"/>
      <c r="I687" s="30"/>
      <c r="J687" s="30"/>
      <c r="K687" s="30"/>
      <c r="L687" s="30"/>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c r="AQ687" s="30"/>
      <c r="AR687" s="30"/>
      <c r="AS687" s="30"/>
      <c r="AT687" s="30"/>
    </row>
    <row r="688" ht="12.75" customHeight="1">
      <c r="A688" s="30"/>
      <c r="B688" s="30"/>
      <c r="C688" s="30"/>
      <c r="D688" s="30"/>
      <c r="E688" s="30"/>
      <c r="F688" s="30"/>
      <c r="G688" s="44"/>
      <c r="H688" s="30"/>
      <c r="I688" s="30"/>
      <c r="J688" s="30"/>
      <c r="K688" s="30"/>
      <c r="L688" s="30"/>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c r="AQ688" s="30"/>
      <c r="AR688" s="30"/>
      <c r="AS688" s="30"/>
      <c r="AT688" s="30"/>
    </row>
    <row r="689" ht="12.75" customHeight="1">
      <c r="A689" s="30"/>
      <c r="B689" s="30"/>
      <c r="C689" s="30"/>
      <c r="D689" s="30"/>
      <c r="E689" s="30"/>
      <c r="F689" s="30"/>
      <c r="G689" s="44"/>
      <c r="H689" s="30"/>
      <c r="I689" s="30"/>
      <c r="J689" s="30"/>
      <c r="K689" s="30"/>
      <c r="L689" s="30"/>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c r="AQ689" s="30"/>
      <c r="AR689" s="30"/>
      <c r="AS689" s="30"/>
      <c r="AT689" s="30"/>
    </row>
    <row r="690" ht="12.75" customHeight="1">
      <c r="A690" s="30"/>
      <c r="B690" s="30"/>
      <c r="C690" s="30"/>
      <c r="D690" s="30"/>
      <c r="E690" s="30"/>
      <c r="F690" s="30"/>
      <c r="G690" s="44"/>
      <c r="H690" s="30"/>
      <c r="I690" s="30"/>
      <c r="J690" s="30"/>
      <c r="K690" s="30"/>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row>
    <row r="691" ht="12.75" customHeight="1">
      <c r="A691" s="30"/>
      <c r="B691" s="30"/>
      <c r="C691" s="30"/>
      <c r="D691" s="30"/>
      <c r="E691" s="30"/>
      <c r="F691" s="30"/>
      <c r="G691" s="44"/>
      <c r="H691" s="30"/>
      <c r="I691" s="30"/>
      <c r="J691" s="30"/>
      <c r="K691" s="30"/>
      <c r="L691" s="30"/>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c r="AQ691" s="30"/>
      <c r="AR691" s="30"/>
      <c r="AS691" s="30"/>
      <c r="AT691" s="30"/>
    </row>
    <row r="692" ht="12.75" customHeight="1">
      <c r="A692" s="30"/>
      <c r="B692" s="30"/>
      <c r="C692" s="30"/>
      <c r="D692" s="30"/>
      <c r="E692" s="30"/>
      <c r="F692" s="30"/>
      <c r="G692" s="44"/>
      <c r="H692" s="30"/>
      <c r="I692" s="30"/>
      <c r="J692" s="30"/>
      <c r="K692" s="30"/>
      <c r="L692" s="30"/>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c r="AQ692" s="30"/>
      <c r="AR692" s="30"/>
      <c r="AS692" s="30"/>
      <c r="AT692" s="30"/>
    </row>
    <row r="693" ht="12.75" customHeight="1">
      <c r="A693" s="30"/>
      <c r="B693" s="30"/>
      <c r="C693" s="30"/>
      <c r="D693" s="30"/>
      <c r="E693" s="30"/>
      <c r="F693" s="30"/>
      <c r="G693" s="44"/>
      <c r="H693" s="30"/>
      <c r="I693" s="30"/>
      <c r="J693" s="30"/>
      <c r="K693" s="30"/>
      <c r="L693" s="30"/>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c r="AQ693" s="30"/>
      <c r="AR693" s="30"/>
      <c r="AS693" s="30"/>
      <c r="AT693" s="30"/>
    </row>
    <row r="694" ht="12.75" customHeight="1">
      <c r="A694" s="30"/>
      <c r="B694" s="30"/>
      <c r="C694" s="30"/>
      <c r="D694" s="30"/>
      <c r="E694" s="30"/>
      <c r="F694" s="30"/>
      <c r="G694" s="44"/>
      <c r="H694" s="30"/>
      <c r="I694" s="30"/>
      <c r="J694" s="30"/>
      <c r="K694" s="30"/>
      <c r="L694" s="30"/>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c r="AQ694" s="30"/>
      <c r="AR694" s="30"/>
      <c r="AS694" s="30"/>
      <c r="AT694" s="30"/>
    </row>
    <row r="695" ht="12.75" customHeight="1">
      <c r="A695" s="30"/>
      <c r="B695" s="30"/>
      <c r="C695" s="30"/>
      <c r="D695" s="30"/>
      <c r="E695" s="30"/>
      <c r="F695" s="30"/>
      <c r="G695" s="44"/>
      <c r="H695" s="30"/>
      <c r="I695" s="30"/>
      <c r="J695" s="30"/>
      <c r="K695" s="30"/>
      <c r="L695" s="30"/>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c r="AQ695" s="30"/>
      <c r="AR695" s="30"/>
      <c r="AS695" s="30"/>
      <c r="AT695" s="30"/>
    </row>
    <row r="696" ht="12.75" customHeight="1">
      <c r="A696" s="30"/>
      <c r="B696" s="30"/>
      <c r="C696" s="30"/>
      <c r="D696" s="30"/>
      <c r="E696" s="30"/>
      <c r="F696" s="30"/>
      <c r="G696" s="44"/>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row>
    <row r="697" ht="12.75" customHeight="1">
      <c r="A697" s="30"/>
      <c r="B697" s="30"/>
      <c r="C697" s="30"/>
      <c r="D697" s="30"/>
      <c r="E697" s="30"/>
      <c r="F697" s="30"/>
      <c r="G697" s="44"/>
      <c r="H697" s="30"/>
      <c r="I697" s="30"/>
      <c r="J697" s="30"/>
      <c r="K697" s="30"/>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c r="AQ697" s="30"/>
      <c r="AR697" s="30"/>
      <c r="AS697" s="30"/>
      <c r="AT697" s="30"/>
    </row>
    <row r="698" ht="12.75" customHeight="1">
      <c r="A698" s="30"/>
      <c r="B698" s="30"/>
      <c r="C698" s="30"/>
      <c r="D698" s="30"/>
      <c r="E698" s="30"/>
      <c r="F698" s="30"/>
      <c r="G698" s="44"/>
      <c r="H698" s="30"/>
      <c r="I698" s="30"/>
      <c r="J698" s="30"/>
      <c r="K698" s="30"/>
      <c r="L698" s="30"/>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c r="AQ698" s="30"/>
      <c r="AR698" s="30"/>
      <c r="AS698" s="30"/>
      <c r="AT698" s="30"/>
    </row>
    <row r="699" ht="12.75" customHeight="1">
      <c r="A699" s="30"/>
      <c r="B699" s="30"/>
      <c r="C699" s="30"/>
      <c r="D699" s="30"/>
      <c r="E699" s="30"/>
      <c r="F699" s="30"/>
      <c r="G699" s="44"/>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c r="AQ699" s="30"/>
      <c r="AR699" s="30"/>
      <c r="AS699" s="30"/>
      <c r="AT699" s="30"/>
    </row>
    <row r="700" ht="12.75" customHeight="1">
      <c r="A700" s="30"/>
      <c r="B700" s="30"/>
      <c r="C700" s="30"/>
      <c r="D700" s="30"/>
      <c r="E700" s="30"/>
      <c r="F700" s="30"/>
      <c r="G700" s="44"/>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c r="AQ700" s="30"/>
      <c r="AR700" s="30"/>
      <c r="AS700" s="30"/>
      <c r="AT700" s="30"/>
    </row>
    <row r="701" ht="12.75" customHeight="1">
      <c r="A701" s="30"/>
      <c r="B701" s="30"/>
      <c r="C701" s="30"/>
      <c r="D701" s="30"/>
      <c r="E701" s="30"/>
      <c r="F701" s="30"/>
      <c r="G701" s="44"/>
      <c r="H701" s="30"/>
      <c r="I701" s="30"/>
      <c r="J701" s="30"/>
      <c r="K701" s="30"/>
      <c r="L701" s="30"/>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c r="AQ701" s="30"/>
      <c r="AR701" s="30"/>
      <c r="AS701" s="30"/>
      <c r="AT701" s="30"/>
    </row>
    <row r="702" ht="12.75" customHeight="1">
      <c r="A702" s="30"/>
      <c r="B702" s="30"/>
      <c r="C702" s="30"/>
      <c r="D702" s="30"/>
      <c r="E702" s="30"/>
      <c r="F702" s="30"/>
      <c r="G702" s="44"/>
      <c r="H702" s="30"/>
      <c r="I702" s="30"/>
      <c r="J702" s="30"/>
      <c r="K702" s="30"/>
      <c r="L702" s="30"/>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c r="AQ702" s="30"/>
      <c r="AR702" s="30"/>
      <c r="AS702" s="30"/>
      <c r="AT702" s="30"/>
    </row>
    <row r="703" ht="12.75" customHeight="1">
      <c r="A703" s="30"/>
      <c r="B703" s="30"/>
      <c r="C703" s="30"/>
      <c r="D703" s="30"/>
      <c r="E703" s="30"/>
      <c r="F703" s="30"/>
      <c r="G703" s="44"/>
      <c r="H703" s="30"/>
      <c r="I703" s="30"/>
      <c r="J703" s="30"/>
      <c r="K703" s="30"/>
      <c r="L703" s="30"/>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c r="AQ703" s="30"/>
      <c r="AR703" s="30"/>
      <c r="AS703" s="30"/>
      <c r="AT703" s="30"/>
    </row>
    <row r="704" ht="12.75" customHeight="1">
      <c r="A704" s="30"/>
      <c r="B704" s="30"/>
      <c r="C704" s="30"/>
      <c r="D704" s="30"/>
      <c r="E704" s="30"/>
      <c r="F704" s="30"/>
      <c r="G704" s="44"/>
      <c r="H704" s="30"/>
      <c r="I704" s="30"/>
      <c r="J704" s="30"/>
      <c r="K704" s="30"/>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c r="AQ704" s="30"/>
      <c r="AR704" s="30"/>
      <c r="AS704" s="30"/>
      <c r="AT704" s="30"/>
    </row>
    <row r="705" ht="12.75" customHeight="1">
      <c r="A705" s="30"/>
      <c r="B705" s="30"/>
      <c r="C705" s="30"/>
      <c r="D705" s="30"/>
      <c r="E705" s="30"/>
      <c r="F705" s="30"/>
      <c r="G705" s="44"/>
      <c r="H705" s="30"/>
      <c r="I705" s="30"/>
      <c r="J705" s="30"/>
      <c r="K705" s="30"/>
      <c r="L705" s="30"/>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c r="AQ705" s="30"/>
      <c r="AR705" s="30"/>
      <c r="AS705" s="30"/>
      <c r="AT705" s="30"/>
    </row>
    <row r="706" ht="12.75" customHeight="1">
      <c r="A706" s="30"/>
      <c r="B706" s="30"/>
      <c r="C706" s="30"/>
      <c r="D706" s="30"/>
      <c r="E706" s="30"/>
      <c r="F706" s="30"/>
      <c r="G706" s="44"/>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row>
    <row r="707" ht="12.75" customHeight="1">
      <c r="A707" s="30"/>
      <c r="B707" s="30"/>
      <c r="C707" s="30"/>
      <c r="D707" s="30"/>
      <c r="E707" s="30"/>
      <c r="F707" s="30"/>
      <c r="G707" s="44"/>
      <c r="H707" s="30"/>
      <c r="I707" s="30"/>
      <c r="J707" s="30"/>
      <c r="K707" s="30"/>
      <c r="L707" s="30"/>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c r="AQ707" s="30"/>
      <c r="AR707" s="30"/>
      <c r="AS707" s="30"/>
      <c r="AT707" s="30"/>
    </row>
    <row r="708" ht="12.75" customHeight="1">
      <c r="A708" s="30"/>
      <c r="B708" s="30"/>
      <c r="C708" s="30"/>
      <c r="D708" s="30"/>
      <c r="E708" s="30"/>
      <c r="F708" s="30"/>
      <c r="G708" s="44"/>
      <c r="H708" s="30"/>
      <c r="I708" s="30"/>
      <c r="J708" s="30"/>
      <c r="K708" s="30"/>
      <c r="L708" s="30"/>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c r="AQ708" s="30"/>
      <c r="AR708" s="30"/>
      <c r="AS708" s="30"/>
      <c r="AT708" s="30"/>
    </row>
    <row r="709" ht="12.75" customHeight="1">
      <c r="A709" s="30"/>
      <c r="B709" s="30"/>
      <c r="C709" s="30"/>
      <c r="D709" s="30"/>
      <c r="E709" s="30"/>
      <c r="F709" s="30"/>
      <c r="G709" s="44"/>
      <c r="H709" s="30"/>
      <c r="I709" s="30"/>
      <c r="J709" s="30"/>
      <c r="K709" s="30"/>
      <c r="L709" s="30"/>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c r="AQ709" s="30"/>
      <c r="AR709" s="30"/>
      <c r="AS709" s="30"/>
      <c r="AT709" s="30"/>
    </row>
    <row r="710" ht="12.75" customHeight="1">
      <c r="A710" s="30"/>
      <c r="B710" s="30"/>
      <c r="C710" s="30"/>
      <c r="D710" s="30"/>
      <c r="E710" s="30"/>
      <c r="F710" s="30"/>
      <c r="G710" s="44"/>
      <c r="H710" s="30"/>
      <c r="I710" s="30"/>
      <c r="J710" s="30"/>
      <c r="K710" s="30"/>
      <c r="L710" s="30"/>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c r="AQ710" s="30"/>
      <c r="AR710" s="30"/>
      <c r="AS710" s="30"/>
      <c r="AT710" s="30"/>
    </row>
    <row r="711" ht="12.75" customHeight="1">
      <c r="A711" s="30"/>
      <c r="B711" s="30"/>
      <c r="C711" s="30"/>
      <c r="D711" s="30"/>
      <c r="E711" s="30"/>
      <c r="F711" s="30"/>
      <c r="G711" s="44"/>
      <c r="H711" s="30"/>
      <c r="I711" s="30"/>
      <c r="J711" s="30"/>
      <c r="K711" s="30"/>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c r="AQ711" s="30"/>
      <c r="AR711" s="30"/>
      <c r="AS711" s="30"/>
      <c r="AT711" s="30"/>
    </row>
    <row r="712" ht="12.75" customHeight="1">
      <c r="A712" s="30"/>
      <c r="B712" s="30"/>
      <c r="C712" s="30"/>
      <c r="D712" s="30"/>
      <c r="E712" s="30"/>
      <c r="F712" s="30"/>
      <c r="G712" s="44"/>
      <c r="H712" s="30"/>
      <c r="I712" s="30"/>
      <c r="J712" s="30"/>
      <c r="K712" s="30"/>
      <c r="L712" s="30"/>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c r="AQ712" s="30"/>
      <c r="AR712" s="30"/>
      <c r="AS712" s="30"/>
      <c r="AT712" s="30"/>
    </row>
    <row r="713" ht="12.75" customHeight="1">
      <c r="A713" s="30"/>
      <c r="B713" s="30"/>
      <c r="C713" s="30"/>
      <c r="D713" s="30"/>
      <c r="E713" s="30"/>
      <c r="F713" s="30"/>
      <c r="G713" s="44"/>
      <c r="H713" s="30"/>
      <c r="I713" s="30"/>
      <c r="J713" s="30"/>
      <c r="K713" s="30"/>
      <c r="L713" s="30"/>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c r="AQ713" s="30"/>
      <c r="AR713" s="30"/>
      <c r="AS713" s="30"/>
      <c r="AT713" s="30"/>
    </row>
    <row r="714" ht="12.75" customHeight="1">
      <c r="A714" s="30"/>
      <c r="B714" s="30"/>
      <c r="C714" s="30"/>
      <c r="D714" s="30"/>
      <c r="E714" s="30"/>
      <c r="F714" s="30"/>
      <c r="G714" s="44"/>
      <c r="H714" s="30"/>
      <c r="I714" s="30"/>
      <c r="J714" s="30"/>
      <c r="K714" s="30"/>
      <c r="L714" s="30"/>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row>
    <row r="715" ht="12.75" customHeight="1">
      <c r="A715" s="30"/>
      <c r="B715" s="30"/>
      <c r="C715" s="30"/>
      <c r="D715" s="30"/>
      <c r="E715" s="30"/>
      <c r="F715" s="30"/>
      <c r="G715" s="44"/>
      <c r="H715" s="30"/>
      <c r="I715" s="30"/>
      <c r="J715" s="30"/>
      <c r="K715" s="30"/>
      <c r="L715" s="30"/>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c r="AQ715" s="30"/>
      <c r="AR715" s="30"/>
      <c r="AS715" s="30"/>
      <c r="AT715" s="30"/>
    </row>
    <row r="716" ht="12.75" customHeight="1">
      <c r="A716" s="30"/>
      <c r="B716" s="30"/>
      <c r="C716" s="30"/>
      <c r="D716" s="30"/>
      <c r="E716" s="30"/>
      <c r="F716" s="30"/>
      <c r="G716" s="44"/>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row>
    <row r="717" ht="12.75" customHeight="1">
      <c r="A717" s="30"/>
      <c r="B717" s="30"/>
      <c r="C717" s="30"/>
      <c r="D717" s="30"/>
      <c r="E717" s="30"/>
      <c r="F717" s="30"/>
      <c r="G717" s="44"/>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c r="AQ717" s="30"/>
      <c r="AR717" s="30"/>
      <c r="AS717" s="30"/>
      <c r="AT717" s="30"/>
    </row>
    <row r="718" ht="12.75" customHeight="1">
      <c r="A718" s="30"/>
      <c r="B718" s="30"/>
      <c r="C718" s="30"/>
      <c r="D718" s="30"/>
      <c r="E718" s="30"/>
      <c r="F718" s="30"/>
      <c r="G718" s="44"/>
      <c r="H718" s="30"/>
      <c r="I718" s="30"/>
      <c r="J718" s="30"/>
      <c r="K718" s="30"/>
      <c r="L718" s="30"/>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c r="AQ718" s="30"/>
      <c r="AR718" s="30"/>
      <c r="AS718" s="30"/>
      <c r="AT718" s="30"/>
    </row>
    <row r="719" ht="12.75" customHeight="1">
      <c r="A719" s="30"/>
      <c r="B719" s="30"/>
      <c r="C719" s="30"/>
      <c r="D719" s="30"/>
      <c r="E719" s="30"/>
      <c r="F719" s="30"/>
      <c r="G719" s="44"/>
      <c r="H719" s="30"/>
      <c r="I719" s="30"/>
      <c r="J719" s="30"/>
      <c r="K719" s="30"/>
      <c r="L719" s="30"/>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c r="AQ719" s="30"/>
      <c r="AR719" s="30"/>
      <c r="AS719" s="30"/>
      <c r="AT719" s="30"/>
    </row>
    <row r="720" ht="12.75" customHeight="1">
      <c r="A720" s="30"/>
      <c r="B720" s="30"/>
      <c r="C720" s="30"/>
      <c r="D720" s="30"/>
      <c r="E720" s="30"/>
      <c r="F720" s="30"/>
      <c r="G720" s="44"/>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c r="AQ720" s="30"/>
      <c r="AR720" s="30"/>
      <c r="AS720" s="30"/>
      <c r="AT720" s="30"/>
    </row>
    <row r="721" ht="12.75" customHeight="1">
      <c r="A721" s="30"/>
      <c r="B721" s="30"/>
      <c r="C721" s="30"/>
      <c r="D721" s="30"/>
      <c r="E721" s="30"/>
      <c r="F721" s="30"/>
      <c r="G721" s="44"/>
      <c r="H721" s="30"/>
      <c r="I721" s="30"/>
      <c r="J721" s="30"/>
      <c r="K721" s="30"/>
      <c r="L721" s="30"/>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c r="AQ721" s="30"/>
      <c r="AR721" s="30"/>
      <c r="AS721" s="30"/>
      <c r="AT721" s="30"/>
    </row>
    <row r="722" ht="12.75" customHeight="1">
      <c r="A722" s="30"/>
      <c r="B722" s="30"/>
      <c r="C722" s="30"/>
      <c r="D722" s="30"/>
      <c r="E722" s="30"/>
      <c r="F722" s="30"/>
      <c r="G722" s="44"/>
      <c r="H722" s="30"/>
      <c r="I722" s="30"/>
      <c r="J722" s="30"/>
      <c r="K722" s="30"/>
      <c r="L722" s="30"/>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c r="AQ722" s="30"/>
      <c r="AR722" s="30"/>
      <c r="AS722" s="30"/>
      <c r="AT722" s="30"/>
    </row>
    <row r="723" ht="12.75" customHeight="1">
      <c r="A723" s="30"/>
      <c r="B723" s="30"/>
      <c r="C723" s="30"/>
      <c r="D723" s="30"/>
      <c r="E723" s="30"/>
      <c r="F723" s="30"/>
      <c r="G723" s="44"/>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c r="AQ723" s="30"/>
      <c r="AR723" s="30"/>
      <c r="AS723" s="30"/>
      <c r="AT723" s="30"/>
    </row>
    <row r="724" ht="12.75" customHeight="1">
      <c r="A724" s="30"/>
      <c r="B724" s="30"/>
      <c r="C724" s="30"/>
      <c r="D724" s="30"/>
      <c r="E724" s="30"/>
      <c r="F724" s="30"/>
      <c r="G724" s="44"/>
      <c r="H724" s="30"/>
      <c r="I724" s="30"/>
      <c r="J724" s="30"/>
      <c r="K724" s="30"/>
      <c r="L724" s="30"/>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c r="AQ724" s="30"/>
      <c r="AR724" s="30"/>
      <c r="AS724" s="30"/>
      <c r="AT724" s="30"/>
    </row>
    <row r="725" ht="12.75" customHeight="1">
      <c r="A725" s="30"/>
      <c r="B725" s="30"/>
      <c r="C725" s="30"/>
      <c r="D725" s="30"/>
      <c r="E725" s="30"/>
      <c r="F725" s="30"/>
      <c r="G725" s="44"/>
      <c r="H725" s="30"/>
      <c r="I725" s="30"/>
      <c r="J725" s="30"/>
      <c r="K725" s="30"/>
      <c r="L725" s="30"/>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c r="AQ725" s="30"/>
      <c r="AR725" s="30"/>
      <c r="AS725" s="30"/>
      <c r="AT725" s="30"/>
    </row>
    <row r="726" ht="12.75" customHeight="1">
      <c r="A726" s="30"/>
      <c r="B726" s="30"/>
      <c r="C726" s="30"/>
      <c r="D726" s="30"/>
      <c r="E726" s="30"/>
      <c r="F726" s="30"/>
      <c r="G726" s="44"/>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row>
    <row r="727" ht="12.75" customHeight="1">
      <c r="A727" s="30"/>
      <c r="B727" s="30"/>
      <c r="C727" s="30"/>
      <c r="D727" s="30"/>
      <c r="E727" s="30"/>
      <c r="F727" s="30"/>
      <c r="G727" s="44"/>
      <c r="H727" s="30"/>
      <c r="I727" s="30"/>
      <c r="J727" s="30"/>
      <c r="K727" s="30"/>
      <c r="L727" s="30"/>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c r="AQ727" s="30"/>
      <c r="AR727" s="30"/>
      <c r="AS727" s="30"/>
      <c r="AT727" s="30"/>
    </row>
    <row r="728" ht="12.75" customHeight="1">
      <c r="A728" s="30"/>
      <c r="B728" s="30"/>
      <c r="C728" s="30"/>
      <c r="D728" s="30"/>
      <c r="E728" s="30"/>
      <c r="F728" s="30"/>
      <c r="G728" s="44"/>
      <c r="H728" s="30"/>
      <c r="I728" s="30"/>
      <c r="J728" s="30"/>
      <c r="K728" s="30"/>
      <c r="L728" s="30"/>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c r="AQ728" s="30"/>
      <c r="AR728" s="30"/>
      <c r="AS728" s="30"/>
      <c r="AT728" s="30"/>
    </row>
    <row r="729" ht="12.75" customHeight="1">
      <c r="A729" s="30"/>
      <c r="B729" s="30"/>
      <c r="C729" s="30"/>
      <c r="D729" s="30"/>
      <c r="E729" s="30"/>
      <c r="F729" s="30"/>
      <c r="G729" s="44"/>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c r="AQ729" s="30"/>
      <c r="AR729" s="30"/>
      <c r="AS729" s="30"/>
      <c r="AT729" s="30"/>
    </row>
    <row r="730" ht="12.75" customHeight="1">
      <c r="A730" s="30"/>
      <c r="B730" s="30"/>
      <c r="C730" s="30"/>
      <c r="D730" s="30"/>
      <c r="E730" s="30"/>
      <c r="F730" s="30"/>
      <c r="G730" s="44"/>
      <c r="H730" s="30"/>
      <c r="I730" s="30"/>
      <c r="J730" s="30"/>
      <c r="K730" s="30"/>
      <c r="L730" s="30"/>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c r="AQ730" s="30"/>
      <c r="AR730" s="30"/>
      <c r="AS730" s="30"/>
      <c r="AT730" s="30"/>
    </row>
    <row r="731" ht="12.75" customHeight="1">
      <c r="A731" s="30"/>
      <c r="B731" s="30"/>
      <c r="C731" s="30"/>
      <c r="D731" s="30"/>
      <c r="E731" s="30"/>
      <c r="F731" s="30"/>
      <c r="G731" s="44"/>
      <c r="H731" s="30"/>
      <c r="I731" s="30"/>
      <c r="J731" s="30"/>
      <c r="K731" s="30"/>
      <c r="L731" s="30"/>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c r="AQ731" s="30"/>
      <c r="AR731" s="30"/>
      <c r="AS731" s="30"/>
      <c r="AT731" s="30"/>
    </row>
    <row r="732" ht="12.75" customHeight="1">
      <c r="A732" s="30"/>
      <c r="B732" s="30"/>
      <c r="C732" s="30"/>
      <c r="D732" s="30"/>
      <c r="E732" s="30"/>
      <c r="F732" s="30"/>
      <c r="G732" s="44"/>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c r="AQ732" s="30"/>
      <c r="AR732" s="30"/>
      <c r="AS732" s="30"/>
      <c r="AT732" s="30"/>
    </row>
    <row r="733" ht="12.75" customHeight="1">
      <c r="A733" s="30"/>
      <c r="B733" s="30"/>
      <c r="C733" s="30"/>
      <c r="D733" s="30"/>
      <c r="E733" s="30"/>
      <c r="F733" s="30"/>
      <c r="G733" s="44"/>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c r="AQ733" s="30"/>
      <c r="AR733" s="30"/>
      <c r="AS733" s="30"/>
      <c r="AT733" s="30"/>
    </row>
    <row r="734" ht="12.75" customHeight="1">
      <c r="A734" s="30"/>
      <c r="B734" s="30"/>
      <c r="C734" s="30"/>
      <c r="D734" s="30"/>
      <c r="E734" s="30"/>
      <c r="F734" s="30"/>
      <c r="G734" s="44"/>
      <c r="H734" s="30"/>
      <c r="I734" s="30"/>
      <c r="J734" s="30"/>
      <c r="K734" s="30"/>
      <c r="L734" s="30"/>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c r="AQ734" s="30"/>
      <c r="AR734" s="30"/>
      <c r="AS734" s="30"/>
      <c r="AT734" s="30"/>
    </row>
    <row r="735" ht="12.75" customHeight="1">
      <c r="A735" s="30"/>
      <c r="B735" s="30"/>
      <c r="C735" s="30"/>
      <c r="D735" s="30"/>
      <c r="E735" s="30"/>
      <c r="F735" s="30"/>
      <c r="G735" s="44"/>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c r="AQ735" s="30"/>
      <c r="AR735" s="30"/>
      <c r="AS735" s="30"/>
      <c r="AT735" s="30"/>
    </row>
    <row r="736" ht="12.75" customHeight="1">
      <c r="A736" s="30"/>
      <c r="B736" s="30"/>
      <c r="C736" s="30"/>
      <c r="D736" s="30"/>
      <c r="E736" s="30"/>
      <c r="F736" s="30"/>
      <c r="G736" s="44"/>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row>
    <row r="737" ht="12.75" customHeight="1">
      <c r="A737" s="30"/>
      <c r="B737" s="30"/>
      <c r="C737" s="30"/>
      <c r="D737" s="30"/>
      <c r="E737" s="30"/>
      <c r="F737" s="30"/>
      <c r="G737" s="44"/>
      <c r="H737" s="30"/>
      <c r="I737" s="30"/>
      <c r="J737" s="30"/>
      <c r="K737" s="30"/>
      <c r="L737" s="30"/>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c r="AQ737" s="30"/>
      <c r="AR737" s="30"/>
      <c r="AS737" s="30"/>
      <c r="AT737" s="30"/>
    </row>
    <row r="738" ht="12.75" customHeight="1">
      <c r="A738" s="30"/>
      <c r="B738" s="30"/>
      <c r="C738" s="30"/>
      <c r="D738" s="30"/>
      <c r="E738" s="30"/>
      <c r="F738" s="30"/>
      <c r="G738" s="44"/>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c r="AQ738" s="30"/>
      <c r="AR738" s="30"/>
      <c r="AS738" s="30"/>
      <c r="AT738" s="30"/>
    </row>
    <row r="739" ht="12.75" customHeight="1">
      <c r="A739" s="30"/>
      <c r="B739" s="30"/>
      <c r="C739" s="30"/>
      <c r="D739" s="30"/>
      <c r="E739" s="30"/>
      <c r="F739" s="30"/>
      <c r="G739" s="44"/>
      <c r="H739" s="30"/>
      <c r="I739" s="30"/>
      <c r="J739" s="30"/>
      <c r="K739" s="30"/>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c r="AQ739" s="30"/>
      <c r="AR739" s="30"/>
      <c r="AS739" s="30"/>
      <c r="AT739" s="30"/>
    </row>
    <row r="740" ht="12.75" customHeight="1">
      <c r="A740" s="30"/>
      <c r="B740" s="30"/>
      <c r="C740" s="30"/>
      <c r="D740" s="30"/>
      <c r="E740" s="30"/>
      <c r="F740" s="30"/>
      <c r="G740" s="44"/>
      <c r="H740" s="30"/>
      <c r="I740" s="30"/>
      <c r="J740" s="30"/>
      <c r="K740" s="30"/>
      <c r="L740" s="30"/>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c r="AQ740" s="30"/>
      <c r="AR740" s="30"/>
      <c r="AS740" s="30"/>
      <c r="AT740" s="30"/>
    </row>
    <row r="741" ht="12.75" customHeight="1">
      <c r="A741" s="30"/>
      <c r="B741" s="30"/>
      <c r="C741" s="30"/>
      <c r="D741" s="30"/>
      <c r="E741" s="30"/>
      <c r="F741" s="30"/>
      <c r="G741" s="44"/>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c r="AQ741" s="30"/>
      <c r="AR741" s="30"/>
      <c r="AS741" s="30"/>
      <c r="AT741" s="30"/>
    </row>
    <row r="742" ht="12.75" customHeight="1">
      <c r="A742" s="30"/>
      <c r="B742" s="30"/>
      <c r="C742" s="30"/>
      <c r="D742" s="30"/>
      <c r="E742" s="30"/>
      <c r="F742" s="30"/>
      <c r="G742" s="44"/>
      <c r="H742" s="30"/>
      <c r="I742" s="30"/>
      <c r="J742" s="30"/>
      <c r="K742" s="30"/>
      <c r="L742" s="30"/>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c r="AQ742" s="30"/>
      <c r="AR742" s="30"/>
      <c r="AS742" s="30"/>
      <c r="AT742" s="30"/>
    </row>
    <row r="743" ht="12.75" customHeight="1">
      <c r="A743" s="30"/>
      <c r="B743" s="30"/>
      <c r="C743" s="30"/>
      <c r="D743" s="30"/>
      <c r="E743" s="30"/>
      <c r="F743" s="30"/>
      <c r="G743" s="44"/>
      <c r="H743" s="30"/>
      <c r="I743" s="30"/>
      <c r="J743" s="30"/>
      <c r="K743" s="30"/>
      <c r="L743" s="30"/>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c r="AQ743" s="30"/>
      <c r="AR743" s="30"/>
      <c r="AS743" s="30"/>
      <c r="AT743" s="30"/>
    </row>
    <row r="744" ht="12.75" customHeight="1">
      <c r="A744" s="30"/>
      <c r="B744" s="30"/>
      <c r="C744" s="30"/>
      <c r="D744" s="30"/>
      <c r="E744" s="30"/>
      <c r="F744" s="30"/>
      <c r="G744" s="44"/>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c r="AQ744" s="30"/>
      <c r="AR744" s="30"/>
      <c r="AS744" s="30"/>
      <c r="AT744" s="30"/>
    </row>
    <row r="745" ht="12.75" customHeight="1">
      <c r="A745" s="30"/>
      <c r="B745" s="30"/>
      <c r="C745" s="30"/>
      <c r="D745" s="30"/>
      <c r="E745" s="30"/>
      <c r="F745" s="30"/>
      <c r="G745" s="44"/>
      <c r="H745" s="30"/>
      <c r="I745" s="30"/>
      <c r="J745" s="30"/>
      <c r="K745" s="30"/>
      <c r="L745" s="30"/>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c r="AQ745" s="30"/>
      <c r="AR745" s="30"/>
      <c r="AS745" s="30"/>
      <c r="AT745" s="30"/>
    </row>
    <row r="746" ht="12.75" customHeight="1">
      <c r="A746" s="30"/>
      <c r="B746" s="30"/>
      <c r="C746" s="30"/>
      <c r="D746" s="30"/>
      <c r="E746" s="30"/>
      <c r="F746" s="30"/>
      <c r="G746" s="44"/>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row>
    <row r="747" ht="12.75" customHeight="1">
      <c r="A747" s="30"/>
      <c r="B747" s="30"/>
      <c r="C747" s="30"/>
      <c r="D747" s="30"/>
      <c r="E747" s="30"/>
      <c r="F747" s="30"/>
      <c r="G747" s="44"/>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c r="AQ747" s="30"/>
      <c r="AR747" s="30"/>
      <c r="AS747" s="30"/>
      <c r="AT747" s="30"/>
    </row>
    <row r="748" ht="12.75" customHeight="1">
      <c r="A748" s="30"/>
      <c r="B748" s="30"/>
      <c r="C748" s="30"/>
      <c r="D748" s="30"/>
      <c r="E748" s="30"/>
      <c r="F748" s="30"/>
      <c r="G748" s="44"/>
      <c r="H748" s="30"/>
      <c r="I748" s="30"/>
      <c r="J748" s="30"/>
      <c r="K748" s="30"/>
      <c r="L748" s="30"/>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c r="AQ748" s="30"/>
      <c r="AR748" s="30"/>
      <c r="AS748" s="30"/>
      <c r="AT748" s="30"/>
    </row>
    <row r="749" ht="12.75" customHeight="1">
      <c r="A749" s="30"/>
      <c r="B749" s="30"/>
      <c r="C749" s="30"/>
      <c r="D749" s="30"/>
      <c r="E749" s="30"/>
      <c r="F749" s="30"/>
      <c r="G749" s="44"/>
      <c r="H749" s="30"/>
      <c r="I749" s="30"/>
      <c r="J749" s="30"/>
      <c r="K749" s="30"/>
      <c r="L749" s="30"/>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c r="AQ749" s="30"/>
      <c r="AR749" s="30"/>
      <c r="AS749" s="30"/>
      <c r="AT749" s="30"/>
    </row>
    <row r="750" ht="12.75" customHeight="1">
      <c r="A750" s="30"/>
      <c r="B750" s="30"/>
      <c r="C750" s="30"/>
      <c r="D750" s="30"/>
      <c r="E750" s="30"/>
      <c r="F750" s="30"/>
      <c r="G750" s="44"/>
      <c r="H750" s="30"/>
      <c r="I750" s="30"/>
      <c r="J750" s="30"/>
      <c r="K750" s="30"/>
      <c r="L750" s="30"/>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c r="AQ750" s="30"/>
      <c r="AR750" s="30"/>
      <c r="AS750" s="30"/>
      <c r="AT750" s="30"/>
    </row>
    <row r="751" ht="12.75" customHeight="1">
      <c r="A751" s="30"/>
      <c r="B751" s="30"/>
      <c r="C751" s="30"/>
      <c r="D751" s="30"/>
      <c r="E751" s="30"/>
      <c r="F751" s="30"/>
      <c r="G751" s="44"/>
      <c r="H751" s="30"/>
      <c r="I751" s="30"/>
      <c r="J751" s="30"/>
      <c r="K751" s="30"/>
      <c r="L751" s="30"/>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c r="AQ751" s="30"/>
      <c r="AR751" s="30"/>
      <c r="AS751" s="30"/>
      <c r="AT751" s="30"/>
    </row>
    <row r="752" ht="12.75" customHeight="1">
      <c r="A752" s="30"/>
      <c r="B752" s="30"/>
      <c r="C752" s="30"/>
      <c r="D752" s="30"/>
      <c r="E752" s="30"/>
      <c r="F752" s="30"/>
      <c r="G752" s="44"/>
      <c r="H752" s="30"/>
      <c r="I752" s="30"/>
      <c r="J752" s="30"/>
      <c r="K752" s="30"/>
      <c r="L752" s="30"/>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c r="AQ752" s="30"/>
      <c r="AR752" s="30"/>
      <c r="AS752" s="30"/>
      <c r="AT752" s="30"/>
    </row>
    <row r="753" ht="12.75" customHeight="1">
      <c r="A753" s="30"/>
      <c r="B753" s="30"/>
      <c r="C753" s="30"/>
      <c r="D753" s="30"/>
      <c r="E753" s="30"/>
      <c r="F753" s="30"/>
      <c r="G753" s="44"/>
      <c r="H753" s="30"/>
      <c r="I753" s="30"/>
      <c r="J753" s="30"/>
      <c r="K753" s="30"/>
      <c r="L753" s="30"/>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c r="AQ753" s="30"/>
      <c r="AR753" s="30"/>
      <c r="AS753" s="30"/>
      <c r="AT753" s="30"/>
    </row>
    <row r="754" ht="12.75" customHeight="1">
      <c r="A754" s="30"/>
      <c r="B754" s="30"/>
      <c r="C754" s="30"/>
      <c r="D754" s="30"/>
      <c r="E754" s="30"/>
      <c r="F754" s="30"/>
      <c r="G754" s="44"/>
      <c r="H754" s="30"/>
      <c r="I754" s="30"/>
      <c r="J754" s="30"/>
      <c r="K754" s="30"/>
      <c r="L754" s="30"/>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c r="AQ754" s="30"/>
      <c r="AR754" s="30"/>
      <c r="AS754" s="30"/>
      <c r="AT754" s="30"/>
    </row>
    <row r="755" ht="12.75" customHeight="1">
      <c r="A755" s="30"/>
      <c r="B755" s="30"/>
      <c r="C755" s="30"/>
      <c r="D755" s="30"/>
      <c r="E755" s="30"/>
      <c r="F755" s="30"/>
      <c r="G755" s="44"/>
      <c r="H755" s="30"/>
      <c r="I755" s="30"/>
      <c r="J755" s="30"/>
      <c r="K755" s="30"/>
      <c r="L755" s="30"/>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c r="AQ755" s="30"/>
      <c r="AR755" s="30"/>
      <c r="AS755" s="30"/>
      <c r="AT755" s="30"/>
    </row>
    <row r="756" ht="12.75" customHeight="1">
      <c r="A756" s="30"/>
      <c r="B756" s="30"/>
      <c r="C756" s="30"/>
      <c r="D756" s="30"/>
      <c r="E756" s="30"/>
      <c r="F756" s="30"/>
      <c r="G756" s="44"/>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row>
    <row r="757" ht="12.75" customHeight="1">
      <c r="A757" s="30"/>
      <c r="B757" s="30"/>
      <c r="C757" s="30"/>
      <c r="D757" s="30"/>
      <c r="E757" s="30"/>
      <c r="F757" s="30"/>
      <c r="G757" s="44"/>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c r="AN757" s="30"/>
      <c r="AO757" s="30"/>
      <c r="AP757" s="30"/>
      <c r="AQ757" s="30"/>
      <c r="AR757" s="30"/>
      <c r="AS757" s="30"/>
      <c r="AT757" s="30"/>
    </row>
    <row r="758" ht="12.75" customHeight="1">
      <c r="A758" s="30"/>
      <c r="B758" s="30"/>
      <c r="C758" s="30"/>
      <c r="D758" s="30"/>
      <c r="E758" s="30"/>
      <c r="F758" s="30"/>
      <c r="G758" s="44"/>
      <c r="H758" s="30"/>
      <c r="I758" s="30"/>
      <c r="J758" s="30"/>
      <c r="K758" s="30"/>
      <c r="L758" s="30"/>
      <c r="M758" s="30"/>
      <c r="N758" s="30"/>
      <c r="O758" s="30"/>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c r="AN758" s="30"/>
      <c r="AO758" s="30"/>
      <c r="AP758" s="30"/>
      <c r="AQ758" s="30"/>
      <c r="AR758" s="30"/>
      <c r="AS758" s="30"/>
      <c r="AT758" s="30"/>
    </row>
    <row r="759" ht="12.75" customHeight="1">
      <c r="A759" s="30"/>
      <c r="B759" s="30"/>
      <c r="C759" s="30"/>
      <c r="D759" s="30"/>
      <c r="E759" s="30"/>
      <c r="F759" s="30"/>
      <c r="G759" s="44"/>
      <c r="H759" s="30"/>
      <c r="I759" s="30"/>
      <c r="J759" s="30"/>
      <c r="K759" s="30"/>
      <c r="L759" s="30"/>
      <c r="M759" s="30"/>
      <c r="N759" s="30"/>
      <c r="O759" s="30"/>
      <c r="P759" s="30"/>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c r="AN759" s="30"/>
      <c r="AO759" s="30"/>
      <c r="AP759" s="30"/>
      <c r="AQ759" s="30"/>
      <c r="AR759" s="30"/>
      <c r="AS759" s="30"/>
      <c r="AT759" s="30"/>
    </row>
    <row r="760" ht="12.75" customHeight="1">
      <c r="A760" s="30"/>
      <c r="B760" s="30"/>
      <c r="C760" s="30"/>
      <c r="D760" s="30"/>
      <c r="E760" s="30"/>
      <c r="F760" s="30"/>
      <c r="G760" s="44"/>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c r="AN760" s="30"/>
      <c r="AO760" s="30"/>
      <c r="AP760" s="30"/>
      <c r="AQ760" s="30"/>
      <c r="AR760" s="30"/>
      <c r="AS760" s="30"/>
      <c r="AT760" s="30"/>
    </row>
    <row r="761" ht="12.75" customHeight="1">
      <c r="A761" s="30"/>
      <c r="B761" s="30"/>
      <c r="C761" s="30"/>
      <c r="D761" s="30"/>
      <c r="E761" s="30"/>
      <c r="F761" s="30"/>
      <c r="G761" s="44"/>
      <c r="H761" s="30"/>
      <c r="I761" s="30"/>
      <c r="J761" s="30"/>
      <c r="K761" s="30"/>
      <c r="L761" s="30"/>
      <c r="M761" s="30"/>
      <c r="N761" s="30"/>
      <c r="O761" s="30"/>
      <c r="P761" s="30"/>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c r="AN761" s="30"/>
      <c r="AO761" s="30"/>
      <c r="AP761" s="30"/>
      <c r="AQ761" s="30"/>
      <c r="AR761" s="30"/>
      <c r="AS761" s="30"/>
      <c r="AT761" s="30"/>
    </row>
    <row r="762" ht="12.75" customHeight="1">
      <c r="A762" s="30"/>
      <c r="B762" s="30"/>
      <c r="C762" s="30"/>
      <c r="D762" s="30"/>
      <c r="E762" s="30"/>
      <c r="F762" s="30"/>
      <c r="G762" s="44"/>
      <c r="H762" s="30"/>
      <c r="I762" s="30"/>
      <c r="J762" s="30"/>
      <c r="K762" s="30"/>
      <c r="L762" s="30"/>
      <c r="M762" s="30"/>
      <c r="N762" s="30"/>
      <c r="O762" s="30"/>
      <c r="P762" s="30"/>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c r="AN762" s="30"/>
      <c r="AO762" s="30"/>
      <c r="AP762" s="30"/>
      <c r="AQ762" s="30"/>
      <c r="AR762" s="30"/>
      <c r="AS762" s="30"/>
      <c r="AT762" s="30"/>
    </row>
    <row r="763" ht="12.75" customHeight="1">
      <c r="A763" s="30"/>
      <c r="B763" s="30"/>
      <c r="C763" s="30"/>
      <c r="D763" s="30"/>
      <c r="E763" s="30"/>
      <c r="F763" s="30"/>
      <c r="G763" s="44"/>
      <c r="H763" s="30"/>
      <c r="I763" s="30"/>
      <c r="J763" s="30"/>
      <c r="K763" s="30"/>
      <c r="L763" s="30"/>
      <c r="M763" s="30"/>
      <c r="N763" s="30"/>
      <c r="O763" s="30"/>
      <c r="P763" s="30"/>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c r="AN763" s="30"/>
      <c r="AO763" s="30"/>
      <c r="AP763" s="30"/>
      <c r="AQ763" s="30"/>
      <c r="AR763" s="30"/>
      <c r="AS763" s="30"/>
      <c r="AT763" s="30"/>
    </row>
    <row r="764" ht="12.75" customHeight="1">
      <c r="A764" s="30"/>
      <c r="B764" s="30"/>
      <c r="C764" s="30"/>
      <c r="D764" s="30"/>
      <c r="E764" s="30"/>
      <c r="F764" s="30"/>
      <c r="G764" s="44"/>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c r="AN764" s="30"/>
      <c r="AO764" s="30"/>
      <c r="AP764" s="30"/>
      <c r="AQ764" s="30"/>
      <c r="AR764" s="30"/>
      <c r="AS764" s="30"/>
      <c r="AT764" s="30"/>
    </row>
    <row r="765" ht="12.75" customHeight="1">
      <c r="A765" s="30"/>
      <c r="B765" s="30"/>
      <c r="C765" s="30"/>
      <c r="D765" s="30"/>
      <c r="E765" s="30"/>
      <c r="F765" s="30"/>
      <c r="G765" s="44"/>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c r="AN765" s="30"/>
      <c r="AO765" s="30"/>
      <c r="AP765" s="30"/>
      <c r="AQ765" s="30"/>
      <c r="AR765" s="30"/>
      <c r="AS765" s="30"/>
      <c r="AT765" s="30"/>
    </row>
    <row r="766" ht="12.75" customHeight="1">
      <c r="A766" s="30"/>
      <c r="B766" s="30"/>
      <c r="C766" s="30"/>
      <c r="D766" s="30"/>
      <c r="E766" s="30"/>
      <c r="F766" s="30"/>
      <c r="G766" s="44"/>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row>
    <row r="767" ht="12.75" customHeight="1">
      <c r="A767" s="30"/>
      <c r="B767" s="30"/>
      <c r="C767" s="30"/>
      <c r="D767" s="30"/>
      <c r="E767" s="30"/>
      <c r="F767" s="30"/>
      <c r="G767" s="44"/>
      <c r="H767" s="30"/>
      <c r="I767" s="30"/>
      <c r="J767" s="30"/>
      <c r="K767" s="30"/>
      <c r="L767" s="30"/>
      <c r="M767" s="30"/>
      <c r="N767" s="30"/>
      <c r="O767" s="30"/>
      <c r="P767" s="30"/>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c r="AN767" s="30"/>
      <c r="AO767" s="30"/>
      <c r="AP767" s="30"/>
      <c r="AQ767" s="30"/>
      <c r="AR767" s="30"/>
      <c r="AS767" s="30"/>
      <c r="AT767" s="30"/>
    </row>
    <row r="768" ht="12.75" customHeight="1">
      <c r="A768" s="30"/>
      <c r="B768" s="30"/>
      <c r="C768" s="30"/>
      <c r="D768" s="30"/>
      <c r="E768" s="30"/>
      <c r="F768" s="30"/>
      <c r="G768" s="44"/>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c r="AN768" s="30"/>
      <c r="AO768" s="30"/>
      <c r="AP768" s="30"/>
      <c r="AQ768" s="30"/>
      <c r="AR768" s="30"/>
      <c r="AS768" s="30"/>
      <c r="AT768" s="30"/>
    </row>
    <row r="769" ht="12.75" customHeight="1">
      <c r="A769" s="30"/>
      <c r="B769" s="30"/>
      <c r="C769" s="30"/>
      <c r="D769" s="30"/>
      <c r="E769" s="30"/>
      <c r="F769" s="30"/>
      <c r="G769" s="44"/>
      <c r="H769" s="30"/>
      <c r="I769" s="30"/>
      <c r="J769" s="30"/>
      <c r="K769" s="30"/>
      <c r="L769" s="30"/>
      <c r="M769" s="30"/>
      <c r="N769" s="30"/>
      <c r="O769" s="30"/>
      <c r="P769" s="30"/>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c r="AN769" s="30"/>
      <c r="AO769" s="30"/>
      <c r="AP769" s="30"/>
      <c r="AQ769" s="30"/>
      <c r="AR769" s="30"/>
      <c r="AS769" s="30"/>
      <c r="AT769" s="30"/>
    </row>
    <row r="770" ht="12.75" customHeight="1">
      <c r="A770" s="30"/>
      <c r="B770" s="30"/>
      <c r="C770" s="30"/>
      <c r="D770" s="30"/>
      <c r="E770" s="30"/>
      <c r="F770" s="30"/>
      <c r="G770" s="44"/>
      <c r="H770" s="30"/>
      <c r="I770" s="30"/>
      <c r="J770" s="30"/>
      <c r="K770" s="30"/>
      <c r="L770" s="30"/>
      <c r="M770" s="30"/>
      <c r="N770" s="30"/>
      <c r="O770" s="30"/>
      <c r="P770" s="30"/>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c r="AN770" s="30"/>
      <c r="AO770" s="30"/>
      <c r="AP770" s="30"/>
      <c r="AQ770" s="30"/>
      <c r="AR770" s="30"/>
      <c r="AS770" s="30"/>
      <c r="AT770" s="30"/>
    </row>
    <row r="771" ht="12.75" customHeight="1">
      <c r="A771" s="30"/>
      <c r="B771" s="30"/>
      <c r="C771" s="30"/>
      <c r="D771" s="30"/>
      <c r="E771" s="30"/>
      <c r="F771" s="30"/>
      <c r="G771" s="44"/>
      <c r="H771" s="30"/>
      <c r="I771" s="30"/>
      <c r="J771" s="30"/>
      <c r="K771" s="30"/>
      <c r="L771" s="30"/>
      <c r="M771" s="30"/>
      <c r="N771" s="30"/>
      <c r="O771" s="30"/>
      <c r="P771" s="30"/>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c r="AN771" s="30"/>
      <c r="AO771" s="30"/>
      <c r="AP771" s="30"/>
      <c r="AQ771" s="30"/>
      <c r="AR771" s="30"/>
      <c r="AS771" s="30"/>
      <c r="AT771" s="30"/>
    </row>
    <row r="772" ht="12.75" customHeight="1">
      <c r="A772" s="30"/>
      <c r="B772" s="30"/>
      <c r="C772" s="30"/>
      <c r="D772" s="30"/>
      <c r="E772" s="30"/>
      <c r="F772" s="30"/>
      <c r="G772" s="44"/>
      <c r="H772" s="30"/>
      <c r="I772" s="30"/>
      <c r="J772" s="30"/>
      <c r="K772" s="30"/>
      <c r="L772" s="30"/>
      <c r="M772" s="30"/>
      <c r="N772" s="30"/>
      <c r="O772" s="30"/>
      <c r="P772" s="30"/>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c r="AN772" s="30"/>
      <c r="AO772" s="30"/>
      <c r="AP772" s="30"/>
      <c r="AQ772" s="30"/>
      <c r="AR772" s="30"/>
      <c r="AS772" s="30"/>
      <c r="AT772" s="30"/>
    </row>
    <row r="773" ht="12.75" customHeight="1">
      <c r="A773" s="30"/>
      <c r="B773" s="30"/>
      <c r="C773" s="30"/>
      <c r="D773" s="30"/>
      <c r="E773" s="30"/>
      <c r="F773" s="30"/>
      <c r="G773" s="44"/>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c r="AN773" s="30"/>
      <c r="AO773" s="30"/>
      <c r="AP773" s="30"/>
      <c r="AQ773" s="30"/>
      <c r="AR773" s="30"/>
      <c r="AS773" s="30"/>
      <c r="AT773" s="30"/>
    </row>
    <row r="774" ht="12.75" customHeight="1">
      <c r="A774" s="30"/>
      <c r="B774" s="30"/>
      <c r="C774" s="30"/>
      <c r="D774" s="30"/>
      <c r="E774" s="30"/>
      <c r="F774" s="30"/>
      <c r="G774" s="44"/>
      <c r="H774" s="30"/>
      <c r="I774" s="30"/>
      <c r="J774" s="30"/>
      <c r="K774" s="30"/>
      <c r="L774" s="30"/>
      <c r="M774" s="30"/>
      <c r="N774" s="30"/>
      <c r="O774" s="30"/>
      <c r="P774" s="30"/>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c r="AN774" s="30"/>
      <c r="AO774" s="30"/>
      <c r="AP774" s="30"/>
      <c r="AQ774" s="30"/>
      <c r="AR774" s="30"/>
      <c r="AS774" s="30"/>
      <c r="AT774" s="30"/>
    </row>
    <row r="775" ht="12.75" customHeight="1">
      <c r="A775" s="30"/>
      <c r="B775" s="30"/>
      <c r="C775" s="30"/>
      <c r="D775" s="30"/>
      <c r="E775" s="30"/>
      <c r="F775" s="30"/>
      <c r="G775" s="44"/>
      <c r="H775" s="30"/>
      <c r="I775" s="30"/>
      <c r="J775" s="30"/>
      <c r="K775" s="30"/>
      <c r="L775" s="30"/>
      <c r="M775" s="30"/>
      <c r="N775" s="30"/>
      <c r="O775" s="30"/>
      <c r="P775" s="30"/>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c r="AN775" s="30"/>
      <c r="AO775" s="30"/>
      <c r="AP775" s="30"/>
      <c r="AQ775" s="30"/>
      <c r="AR775" s="30"/>
      <c r="AS775" s="30"/>
      <c r="AT775" s="30"/>
    </row>
    <row r="776" ht="12.75" customHeight="1">
      <c r="A776" s="30"/>
      <c r="B776" s="30"/>
      <c r="C776" s="30"/>
      <c r="D776" s="30"/>
      <c r="E776" s="30"/>
      <c r="F776" s="30"/>
      <c r="G776" s="44"/>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row>
    <row r="777" ht="12.75" customHeight="1">
      <c r="A777" s="30"/>
      <c r="B777" s="30"/>
      <c r="C777" s="30"/>
      <c r="D777" s="30"/>
      <c r="E777" s="30"/>
      <c r="F777" s="30"/>
      <c r="G777" s="44"/>
      <c r="H777" s="30"/>
      <c r="I777" s="30"/>
      <c r="J777" s="30"/>
      <c r="K777" s="30"/>
      <c r="L777" s="30"/>
      <c r="M777" s="30"/>
      <c r="N777" s="30"/>
      <c r="O777" s="30"/>
      <c r="P777" s="30"/>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c r="AN777" s="30"/>
      <c r="AO777" s="30"/>
      <c r="AP777" s="30"/>
      <c r="AQ777" s="30"/>
      <c r="AR777" s="30"/>
      <c r="AS777" s="30"/>
      <c r="AT777" s="30"/>
    </row>
    <row r="778" ht="12.75" customHeight="1">
      <c r="A778" s="30"/>
      <c r="B778" s="30"/>
      <c r="C778" s="30"/>
      <c r="D778" s="30"/>
      <c r="E778" s="30"/>
      <c r="F778" s="30"/>
      <c r="G778" s="44"/>
      <c r="H778" s="30"/>
      <c r="I778" s="30"/>
      <c r="J778" s="30"/>
      <c r="K778" s="30"/>
      <c r="L778" s="30"/>
      <c r="M778" s="30"/>
      <c r="N778" s="30"/>
      <c r="O778" s="30"/>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c r="AN778" s="30"/>
      <c r="AO778" s="30"/>
      <c r="AP778" s="30"/>
      <c r="AQ778" s="30"/>
      <c r="AR778" s="30"/>
      <c r="AS778" s="30"/>
      <c r="AT778" s="30"/>
    </row>
    <row r="779" ht="12.75" customHeight="1">
      <c r="A779" s="30"/>
      <c r="B779" s="30"/>
      <c r="C779" s="30"/>
      <c r="D779" s="30"/>
      <c r="E779" s="30"/>
      <c r="F779" s="30"/>
      <c r="G779" s="44"/>
      <c r="H779" s="30"/>
      <c r="I779" s="30"/>
      <c r="J779" s="30"/>
      <c r="K779" s="30"/>
      <c r="L779" s="30"/>
      <c r="M779" s="30"/>
      <c r="N779" s="30"/>
      <c r="O779" s="30"/>
      <c r="P779" s="30"/>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c r="AN779" s="30"/>
      <c r="AO779" s="30"/>
      <c r="AP779" s="30"/>
      <c r="AQ779" s="30"/>
      <c r="AR779" s="30"/>
      <c r="AS779" s="30"/>
      <c r="AT779" s="30"/>
    </row>
    <row r="780" ht="12.75" customHeight="1">
      <c r="A780" s="30"/>
      <c r="B780" s="30"/>
      <c r="C780" s="30"/>
      <c r="D780" s="30"/>
      <c r="E780" s="30"/>
      <c r="F780" s="30"/>
      <c r="G780" s="44"/>
      <c r="H780" s="30"/>
      <c r="I780" s="30"/>
      <c r="J780" s="30"/>
      <c r="K780" s="30"/>
      <c r="L780" s="30"/>
      <c r="M780" s="30"/>
      <c r="N780" s="30"/>
      <c r="O780" s="30"/>
      <c r="P780" s="30"/>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c r="AN780" s="30"/>
      <c r="AO780" s="30"/>
      <c r="AP780" s="30"/>
      <c r="AQ780" s="30"/>
      <c r="AR780" s="30"/>
      <c r="AS780" s="30"/>
      <c r="AT780" s="30"/>
    </row>
    <row r="781" ht="12.75" customHeight="1">
      <c r="A781" s="30"/>
      <c r="B781" s="30"/>
      <c r="C781" s="30"/>
      <c r="D781" s="30"/>
      <c r="E781" s="30"/>
      <c r="F781" s="30"/>
      <c r="G781" s="44"/>
      <c r="H781" s="30"/>
      <c r="I781" s="30"/>
      <c r="J781" s="30"/>
      <c r="K781" s="30"/>
      <c r="L781" s="30"/>
      <c r="M781" s="30"/>
      <c r="N781" s="30"/>
      <c r="O781" s="30"/>
      <c r="P781" s="30"/>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c r="AN781" s="30"/>
      <c r="AO781" s="30"/>
      <c r="AP781" s="30"/>
      <c r="AQ781" s="30"/>
      <c r="AR781" s="30"/>
      <c r="AS781" s="30"/>
      <c r="AT781" s="30"/>
    </row>
    <row r="782" ht="12.75" customHeight="1">
      <c r="A782" s="30"/>
      <c r="B782" s="30"/>
      <c r="C782" s="30"/>
      <c r="D782" s="30"/>
      <c r="E782" s="30"/>
      <c r="F782" s="30"/>
      <c r="G782" s="44"/>
      <c r="H782" s="30"/>
      <c r="I782" s="30"/>
      <c r="J782" s="30"/>
      <c r="K782" s="30"/>
      <c r="L782" s="30"/>
      <c r="M782" s="30"/>
      <c r="N782" s="30"/>
      <c r="O782" s="30"/>
      <c r="P782" s="30"/>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c r="AN782" s="30"/>
      <c r="AO782" s="30"/>
      <c r="AP782" s="30"/>
      <c r="AQ782" s="30"/>
      <c r="AR782" s="30"/>
      <c r="AS782" s="30"/>
      <c r="AT782" s="30"/>
    </row>
    <row r="783" ht="12.75" customHeight="1">
      <c r="A783" s="30"/>
      <c r="B783" s="30"/>
      <c r="C783" s="30"/>
      <c r="D783" s="30"/>
      <c r="E783" s="30"/>
      <c r="F783" s="30"/>
      <c r="G783" s="44"/>
      <c r="H783" s="30"/>
      <c r="I783" s="30"/>
      <c r="J783" s="30"/>
      <c r="K783" s="30"/>
      <c r="L783" s="30"/>
      <c r="M783" s="30"/>
      <c r="N783" s="30"/>
      <c r="O783" s="30"/>
      <c r="P783" s="30"/>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c r="AN783" s="30"/>
      <c r="AO783" s="30"/>
      <c r="AP783" s="30"/>
      <c r="AQ783" s="30"/>
      <c r="AR783" s="30"/>
      <c r="AS783" s="30"/>
      <c r="AT783" s="30"/>
    </row>
    <row r="784" ht="12.75" customHeight="1">
      <c r="A784" s="30"/>
      <c r="B784" s="30"/>
      <c r="C784" s="30"/>
      <c r="D784" s="30"/>
      <c r="E784" s="30"/>
      <c r="F784" s="30"/>
      <c r="G784" s="44"/>
      <c r="H784" s="30"/>
      <c r="I784" s="30"/>
      <c r="J784" s="30"/>
      <c r="K784" s="30"/>
      <c r="L784" s="30"/>
      <c r="M784" s="30"/>
      <c r="N784" s="30"/>
      <c r="O784" s="30"/>
      <c r="P784" s="30"/>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c r="AN784" s="30"/>
      <c r="AO784" s="30"/>
      <c r="AP784" s="30"/>
      <c r="AQ784" s="30"/>
      <c r="AR784" s="30"/>
      <c r="AS784" s="30"/>
      <c r="AT784" s="30"/>
    </row>
    <row r="785" ht="12.75" customHeight="1">
      <c r="A785" s="30"/>
      <c r="B785" s="30"/>
      <c r="C785" s="30"/>
      <c r="D785" s="30"/>
      <c r="E785" s="30"/>
      <c r="F785" s="30"/>
      <c r="G785" s="44"/>
      <c r="H785" s="30"/>
      <c r="I785" s="30"/>
      <c r="J785" s="30"/>
      <c r="K785" s="30"/>
      <c r="L785" s="30"/>
      <c r="M785" s="30"/>
      <c r="N785" s="30"/>
      <c r="O785" s="30"/>
      <c r="P785" s="30"/>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c r="AN785" s="30"/>
      <c r="AO785" s="30"/>
      <c r="AP785" s="30"/>
      <c r="AQ785" s="30"/>
      <c r="AR785" s="30"/>
      <c r="AS785" s="30"/>
      <c r="AT785" s="30"/>
    </row>
    <row r="786" ht="12.75" customHeight="1">
      <c r="A786" s="30"/>
      <c r="B786" s="30"/>
      <c r="C786" s="30"/>
      <c r="D786" s="30"/>
      <c r="E786" s="30"/>
      <c r="F786" s="30"/>
      <c r="G786" s="44"/>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row>
    <row r="787" ht="12.75" customHeight="1">
      <c r="A787" s="30"/>
      <c r="B787" s="30"/>
      <c r="C787" s="30"/>
      <c r="D787" s="30"/>
      <c r="E787" s="30"/>
      <c r="F787" s="30"/>
      <c r="G787" s="44"/>
      <c r="H787" s="30"/>
      <c r="I787" s="30"/>
      <c r="J787" s="30"/>
      <c r="K787" s="30"/>
      <c r="L787" s="30"/>
      <c r="M787" s="30"/>
      <c r="N787" s="30"/>
      <c r="O787" s="30"/>
      <c r="P787" s="30"/>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c r="AN787" s="30"/>
      <c r="AO787" s="30"/>
      <c r="AP787" s="30"/>
      <c r="AQ787" s="30"/>
      <c r="AR787" s="30"/>
      <c r="AS787" s="30"/>
      <c r="AT787" s="30"/>
    </row>
    <row r="788" ht="12.75" customHeight="1">
      <c r="A788" s="30"/>
      <c r="B788" s="30"/>
      <c r="C788" s="30"/>
      <c r="D788" s="30"/>
      <c r="E788" s="30"/>
      <c r="F788" s="30"/>
      <c r="G788" s="44"/>
      <c r="H788" s="30"/>
      <c r="I788" s="30"/>
      <c r="J788" s="30"/>
      <c r="K788" s="30"/>
      <c r="L788" s="30"/>
      <c r="M788" s="30"/>
      <c r="N788" s="30"/>
      <c r="O788" s="30"/>
      <c r="P788" s="30"/>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c r="AN788" s="30"/>
      <c r="AO788" s="30"/>
      <c r="AP788" s="30"/>
      <c r="AQ788" s="30"/>
      <c r="AR788" s="30"/>
      <c r="AS788" s="30"/>
      <c r="AT788" s="30"/>
    </row>
    <row r="789" ht="12.75" customHeight="1">
      <c r="A789" s="30"/>
      <c r="B789" s="30"/>
      <c r="C789" s="30"/>
      <c r="D789" s="30"/>
      <c r="E789" s="30"/>
      <c r="F789" s="30"/>
      <c r="G789" s="44"/>
      <c r="H789" s="30"/>
      <c r="I789" s="30"/>
      <c r="J789" s="30"/>
      <c r="K789" s="30"/>
      <c r="L789" s="30"/>
      <c r="M789" s="30"/>
      <c r="N789" s="30"/>
      <c r="O789" s="30"/>
      <c r="P789" s="30"/>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c r="AN789" s="30"/>
      <c r="AO789" s="30"/>
      <c r="AP789" s="30"/>
      <c r="AQ789" s="30"/>
      <c r="AR789" s="30"/>
      <c r="AS789" s="30"/>
      <c r="AT789" s="30"/>
    </row>
    <row r="790" ht="12.75" customHeight="1">
      <c r="A790" s="30"/>
      <c r="B790" s="30"/>
      <c r="C790" s="30"/>
      <c r="D790" s="30"/>
      <c r="E790" s="30"/>
      <c r="F790" s="30"/>
      <c r="G790" s="44"/>
      <c r="H790" s="30"/>
      <c r="I790" s="30"/>
      <c r="J790" s="30"/>
      <c r="K790" s="30"/>
      <c r="L790" s="30"/>
      <c r="M790" s="30"/>
      <c r="N790" s="30"/>
      <c r="O790" s="30"/>
      <c r="P790" s="30"/>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c r="AN790" s="30"/>
      <c r="AO790" s="30"/>
      <c r="AP790" s="30"/>
      <c r="AQ790" s="30"/>
      <c r="AR790" s="30"/>
      <c r="AS790" s="30"/>
      <c r="AT790" s="30"/>
    </row>
    <row r="791" ht="12.75" customHeight="1">
      <c r="A791" s="30"/>
      <c r="B791" s="30"/>
      <c r="C791" s="30"/>
      <c r="D791" s="30"/>
      <c r="E791" s="30"/>
      <c r="F791" s="30"/>
      <c r="G791" s="44"/>
      <c r="H791" s="30"/>
      <c r="I791" s="30"/>
      <c r="J791" s="30"/>
      <c r="K791" s="30"/>
      <c r="L791" s="30"/>
      <c r="M791" s="30"/>
      <c r="N791" s="30"/>
      <c r="O791" s="30"/>
      <c r="P791" s="30"/>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c r="AN791" s="30"/>
      <c r="AO791" s="30"/>
      <c r="AP791" s="30"/>
      <c r="AQ791" s="30"/>
      <c r="AR791" s="30"/>
      <c r="AS791" s="30"/>
      <c r="AT791" s="30"/>
    </row>
    <row r="792" ht="12.75" customHeight="1">
      <c r="A792" s="30"/>
      <c r="B792" s="30"/>
      <c r="C792" s="30"/>
      <c r="D792" s="30"/>
      <c r="E792" s="30"/>
      <c r="F792" s="30"/>
      <c r="G792" s="44"/>
      <c r="H792" s="30"/>
      <c r="I792" s="30"/>
      <c r="J792" s="30"/>
      <c r="K792" s="30"/>
      <c r="L792" s="30"/>
      <c r="M792" s="30"/>
      <c r="N792" s="30"/>
      <c r="O792" s="30"/>
      <c r="P792" s="30"/>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c r="AN792" s="30"/>
      <c r="AO792" s="30"/>
      <c r="AP792" s="30"/>
      <c r="AQ792" s="30"/>
      <c r="AR792" s="30"/>
      <c r="AS792" s="30"/>
      <c r="AT792" s="30"/>
    </row>
    <row r="793" ht="12.75" customHeight="1">
      <c r="A793" s="30"/>
      <c r="B793" s="30"/>
      <c r="C793" s="30"/>
      <c r="D793" s="30"/>
      <c r="E793" s="30"/>
      <c r="F793" s="30"/>
      <c r="G793" s="44"/>
      <c r="H793" s="30"/>
      <c r="I793" s="30"/>
      <c r="J793" s="30"/>
      <c r="K793" s="30"/>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c r="AN793" s="30"/>
      <c r="AO793" s="30"/>
      <c r="AP793" s="30"/>
      <c r="AQ793" s="30"/>
      <c r="AR793" s="30"/>
      <c r="AS793" s="30"/>
      <c r="AT793" s="30"/>
    </row>
    <row r="794" ht="12.75" customHeight="1">
      <c r="A794" s="30"/>
      <c r="B794" s="30"/>
      <c r="C794" s="30"/>
      <c r="D794" s="30"/>
      <c r="E794" s="30"/>
      <c r="F794" s="30"/>
      <c r="G794" s="44"/>
      <c r="H794" s="30"/>
      <c r="I794" s="30"/>
      <c r="J794" s="30"/>
      <c r="K794" s="30"/>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c r="AN794" s="30"/>
      <c r="AO794" s="30"/>
      <c r="AP794" s="30"/>
      <c r="AQ794" s="30"/>
      <c r="AR794" s="30"/>
      <c r="AS794" s="30"/>
      <c r="AT794" s="30"/>
    </row>
    <row r="795" ht="12.75" customHeight="1">
      <c r="A795" s="30"/>
      <c r="B795" s="30"/>
      <c r="C795" s="30"/>
      <c r="D795" s="30"/>
      <c r="E795" s="30"/>
      <c r="F795" s="30"/>
      <c r="G795" s="44"/>
      <c r="H795" s="30"/>
      <c r="I795" s="30"/>
      <c r="J795" s="30"/>
      <c r="K795" s="30"/>
      <c r="L795" s="30"/>
      <c r="M795" s="30"/>
      <c r="N795" s="30"/>
      <c r="O795" s="30"/>
      <c r="P795" s="30"/>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c r="AN795" s="30"/>
      <c r="AO795" s="30"/>
      <c r="AP795" s="30"/>
      <c r="AQ795" s="30"/>
      <c r="AR795" s="30"/>
      <c r="AS795" s="30"/>
      <c r="AT795" s="30"/>
    </row>
    <row r="796" ht="12.75" customHeight="1">
      <c r="A796" s="30"/>
      <c r="B796" s="30"/>
      <c r="C796" s="30"/>
      <c r="D796" s="30"/>
      <c r="E796" s="30"/>
      <c r="F796" s="30"/>
      <c r="G796" s="44"/>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row>
    <row r="797" ht="12.75" customHeight="1">
      <c r="A797" s="30"/>
      <c r="B797" s="30"/>
      <c r="C797" s="30"/>
      <c r="D797" s="30"/>
      <c r="E797" s="30"/>
      <c r="F797" s="30"/>
      <c r="G797" s="44"/>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c r="AN797" s="30"/>
      <c r="AO797" s="30"/>
      <c r="AP797" s="30"/>
      <c r="AQ797" s="30"/>
      <c r="AR797" s="30"/>
      <c r="AS797" s="30"/>
      <c r="AT797" s="30"/>
    </row>
    <row r="798" ht="12.75" customHeight="1">
      <c r="A798" s="30"/>
      <c r="B798" s="30"/>
      <c r="C798" s="30"/>
      <c r="D798" s="30"/>
      <c r="E798" s="30"/>
      <c r="F798" s="30"/>
      <c r="G798" s="44"/>
      <c r="H798" s="30"/>
      <c r="I798" s="30"/>
      <c r="J798" s="30"/>
      <c r="K798" s="30"/>
      <c r="L798" s="30"/>
      <c r="M798" s="30"/>
      <c r="N798" s="30"/>
      <c r="O798" s="30"/>
      <c r="P798" s="30"/>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c r="AN798" s="30"/>
      <c r="AO798" s="30"/>
      <c r="AP798" s="30"/>
      <c r="AQ798" s="30"/>
      <c r="AR798" s="30"/>
      <c r="AS798" s="30"/>
      <c r="AT798" s="30"/>
    </row>
    <row r="799" ht="12.75" customHeight="1">
      <c r="A799" s="30"/>
      <c r="B799" s="30"/>
      <c r="C799" s="30"/>
      <c r="D799" s="30"/>
      <c r="E799" s="30"/>
      <c r="F799" s="30"/>
      <c r="G799" s="44"/>
      <c r="H799" s="30"/>
      <c r="I799" s="30"/>
      <c r="J799" s="30"/>
      <c r="K799" s="30"/>
      <c r="L799" s="30"/>
      <c r="M799" s="30"/>
      <c r="N799" s="30"/>
      <c r="O799" s="30"/>
      <c r="P799" s="30"/>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c r="AN799" s="30"/>
      <c r="AO799" s="30"/>
      <c r="AP799" s="30"/>
      <c r="AQ799" s="30"/>
      <c r="AR799" s="30"/>
      <c r="AS799" s="30"/>
      <c r="AT799" s="30"/>
    </row>
    <row r="800" ht="12.75" customHeight="1">
      <c r="A800" s="30"/>
      <c r="B800" s="30"/>
      <c r="C800" s="30"/>
      <c r="D800" s="30"/>
      <c r="E800" s="30"/>
      <c r="F800" s="30"/>
      <c r="G800" s="44"/>
      <c r="H800" s="30"/>
      <c r="I800" s="30"/>
      <c r="J800" s="30"/>
      <c r="K800" s="30"/>
      <c r="L800" s="30"/>
      <c r="M800" s="30"/>
      <c r="N800" s="30"/>
      <c r="O800" s="30"/>
      <c r="P800" s="30"/>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c r="AN800" s="30"/>
      <c r="AO800" s="30"/>
      <c r="AP800" s="30"/>
      <c r="AQ800" s="30"/>
      <c r="AR800" s="30"/>
      <c r="AS800" s="30"/>
      <c r="AT800" s="30"/>
    </row>
    <row r="801" ht="12.75" customHeight="1">
      <c r="A801" s="30"/>
      <c r="B801" s="30"/>
      <c r="C801" s="30"/>
      <c r="D801" s="30"/>
      <c r="E801" s="30"/>
      <c r="F801" s="30"/>
      <c r="G801" s="44"/>
      <c r="H801" s="30"/>
      <c r="I801" s="30"/>
      <c r="J801" s="30"/>
      <c r="K801" s="30"/>
      <c r="L801" s="30"/>
      <c r="M801" s="30"/>
      <c r="N801" s="30"/>
      <c r="O801" s="30"/>
      <c r="P801" s="30"/>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c r="AN801" s="30"/>
      <c r="AO801" s="30"/>
      <c r="AP801" s="30"/>
      <c r="AQ801" s="30"/>
      <c r="AR801" s="30"/>
      <c r="AS801" s="30"/>
      <c r="AT801" s="30"/>
    </row>
    <row r="802" ht="12.75" customHeight="1">
      <c r="A802" s="30"/>
      <c r="B802" s="30"/>
      <c r="C802" s="30"/>
      <c r="D802" s="30"/>
      <c r="E802" s="30"/>
      <c r="F802" s="30"/>
      <c r="G802" s="44"/>
      <c r="H802" s="30"/>
      <c r="I802" s="30"/>
      <c r="J802" s="30"/>
      <c r="K802" s="30"/>
      <c r="L802" s="30"/>
      <c r="M802" s="30"/>
      <c r="N802" s="30"/>
      <c r="O802" s="30"/>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c r="AQ802" s="30"/>
      <c r="AR802" s="30"/>
      <c r="AS802" s="30"/>
      <c r="AT802" s="30"/>
    </row>
    <row r="803" ht="12.75" customHeight="1">
      <c r="A803" s="30"/>
      <c r="B803" s="30"/>
      <c r="C803" s="30"/>
      <c r="D803" s="30"/>
      <c r="E803" s="30"/>
      <c r="F803" s="30"/>
      <c r="G803" s="44"/>
      <c r="H803" s="30"/>
      <c r="I803" s="30"/>
      <c r="J803" s="30"/>
      <c r="K803" s="30"/>
      <c r="L803" s="30"/>
      <c r="M803" s="30"/>
      <c r="N803" s="30"/>
      <c r="O803" s="30"/>
      <c r="P803" s="30"/>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c r="AN803" s="30"/>
      <c r="AO803" s="30"/>
      <c r="AP803" s="30"/>
      <c r="AQ803" s="30"/>
      <c r="AR803" s="30"/>
      <c r="AS803" s="30"/>
      <c r="AT803" s="30"/>
    </row>
    <row r="804" ht="12.75" customHeight="1">
      <c r="A804" s="30"/>
      <c r="B804" s="30"/>
      <c r="C804" s="30"/>
      <c r="D804" s="30"/>
      <c r="E804" s="30"/>
      <c r="F804" s="30"/>
      <c r="G804" s="44"/>
      <c r="H804" s="30"/>
      <c r="I804" s="30"/>
      <c r="J804" s="30"/>
      <c r="K804" s="30"/>
      <c r="L804" s="30"/>
      <c r="M804" s="30"/>
      <c r="N804" s="30"/>
      <c r="O804" s="30"/>
      <c r="P804" s="30"/>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c r="AN804" s="30"/>
      <c r="AO804" s="30"/>
      <c r="AP804" s="30"/>
      <c r="AQ804" s="30"/>
      <c r="AR804" s="30"/>
      <c r="AS804" s="30"/>
      <c r="AT804" s="30"/>
    </row>
    <row r="805" ht="12.75" customHeight="1">
      <c r="A805" s="30"/>
      <c r="B805" s="30"/>
      <c r="C805" s="30"/>
      <c r="D805" s="30"/>
      <c r="E805" s="30"/>
      <c r="F805" s="30"/>
      <c r="G805" s="44"/>
      <c r="H805" s="30"/>
      <c r="I805" s="30"/>
      <c r="J805" s="30"/>
      <c r="K805" s="30"/>
      <c r="L805" s="30"/>
      <c r="M805" s="30"/>
      <c r="N805" s="30"/>
      <c r="O805" s="30"/>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c r="AQ805" s="30"/>
      <c r="AR805" s="30"/>
      <c r="AS805" s="30"/>
      <c r="AT805" s="30"/>
    </row>
    <row r="806" ht="12.75" customHeight="1">
      <c r="A806" s="30"/>
      <c r="B806" s="30"/>
      <c r="C806" s="30"/>
      <c r="D806" s="30"/>
      <c r="E806" s="30"/>
      <c r="F806" s="30"/>
      <c r="G806" s="44"/>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row>
    <row r="807" ht="12.75" customHeight="1">
      <c r="A807" s="30"/>
      <c r="B807" s="30"/>
      <c r="C807" s="30"/>
      <c r="D807" s="30"/>
      <c r="E807" s="30"/>
      <c r="F807" s="30"/>
      <c r="G807" s="44"/>
      <c r="H807" s="30"/>
      <c r="I807" s="30"/>
      <c r="J807" s="30"/>
      <c r="K807" s="30"/>
      <c r="L807" s="30"/>
      <c r="M807" s="30"/>
      <c r="N807" s="30"/>
      <c r="O807" s="30"/>
      <c r="P807" s="30"/>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c r="AN807" s="30"/>
      <c r="AO807" s="30"/>
      <c r="AP807" s="30"/>
      <c r="AQ807" s="30"/>
      <c r="AR807" s="30"/>
      <c r="AS807" s="30"/>
      <c r="AT807" s="30"/>
    </row>
    <row r="808" ht="12.75" customHeight="1">
      <c r="A808" s="30"/>
      <c r="B808" s="30"/>
      <c r="C808" s="30"/>
      <c r="D808" s="30"/>
      <c r="E808" s="30"/>
      <c r="F808" s="30"/>
      <c r="G808" s="44"/>
      <c r="H808" s="30"/>
      <c r="I808" s="30"/>
      <c r="J808" s="30"/>
      <c r="K808" s="30"/>
      <c r="L808" s="30"/>
      <c r="M808" s="30"/>
      <c r="N808" s="30"/>
      <c r="O808" s="30"/>
      <c r="P808" s="30"/>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c r="AN808" s="30"/>
      <c r="AO808" s="30"/>
      <c r="AP808" s="30"/>
      <c r="AQ808" s="30"/>
      <c r="AR808" s="30"/>
      <c r="AS808" s="30"/>
      <c r="AT808" s="30"/>
    </row>
    <row r="809" ht="12.75" customHeight="1">
      <c r="A809" s="30"/>
      <c r="B809" s="30"/>
      <c r="C809" s="30"/>
      <c r="D809" s="30"/>
      <c r="E809" s="30"/>
      <c r="F809" s="30"/>
      <c r="G809" s="44"/>
      <c r="H809" s="30"/>
      <c r="I809" s="30"/>
      <c r="J809" s="30"/>
      <c r="K809" s="30"/>
      <c r="L809" s="30"/>
      <c r="M809" s="30"/>
      <c r="N809" s="30"/>
      <c r="O809" s="30"/>
      <c r="P809" s="30"/>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c r="AN809" s="30"/>
      <c r="AO809" s="30"/>
      <c r="AP809" s="30"/>
      <c r="AQ809" s="30"/>
      <c r="AR809" s="30"/>
      <c r="AS809" s="30"/>
      <c r="AT809" s="30"/>
    </row>
    <row r="810" ht="12.75" customHeight="1">
      <c r="A810" s="30"/>
      <c r="B810" s="30"/>
      <c r="C810" s="30"/>
      <c r="D810" s="30"/>
      <c r="E810" s="30"/>
      <c r="F810" s="30"/>
      <c r="G810" s="44"/>
      <c r="H810" s="30"/>
      <c r="I810" s="30"/>
      <c r="J810" s="30"/>
      <c r="K810" s="30"/>
      <c r="L810" s="30"/>
      <c r="M810" s="30"/>
      <c r="N810" s="30"/>
      <c r="O810" s="30"/>
      <c r="P810" s="30"/>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c r="AN810" s="30"/>
      <c r="AO810" s="30"/>
      <c r="AP810" s="30"/>
      <c r="AQ810" s="30"/>
      <c r="AR810" s="30"/>
      <c r="AS810" s="30"/>
      <c r="AT810" s="30"/>
    </row>
    <row r="811" ht="12.75" customHeight="1">
      <c r="A811" s="30"/>
      <c r="B811" s="30"/>
      <c r="C811" s="30"/>
      <c r="D811" s="30"/>
      <c r="E811" s="30"/>
      <c r="F811" s="30"/>
      <c r="G811" s="44"/>
      <c r="H811" s="30"/>
      <c r="I811" s="30"/>
      <c r="J811" s="30"/>
      <c r="K811" s="30"/>
      <c r="L811" s="30"/>
      <c r="M811" s="30"/>
      <c r="N811" s="30"/>
      <c r="O811" s="30"/>
      <c r="P811" s="30"/>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c r="AN811" s="30"/>
      <c r="AO811" s="30"/>
      <c r="AP811" s="30"/>
      <c r="AQ811" s="30"/>
      <c r="AR811" s="30"/>
      <c r="AS811" s="30"/>
      <c r="AT811" s="30"/>
    </row>
    <row r="812" ht="12.75" customHeight="1">
      <c r="A812" s="30"/>
      <c r="B812" s="30"/>
      <c r="C812" s="30"/>
      <c r="D812" s="30"/>
      <c r="E812" s="30"/>
      <c r="F812" s="30"/>
      <c r="G812" s="44"/>
      <c r="H812" s="30"/>
      <c r="I812" s="30"/>
      <c r="J812" s="30"/>
      <c r="K812" s="30"/>
      <c r="L812" s="30"/>
      <c r="M812" s="30"/>
      <c r="N812" s="30"/>
      <c r="O812" s="30"/>
      <c r="P812" s="30"/>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c r="AN812" s="30"/>
      <c r="AO812" s="30"/>
      <c r="AP812" s="30"/>
      <c r="AQ812" s="30"/>
      <c r="AR812" s="30"/>
      <c r="AS812" s="30"/>
      <c r="AT812" s="30"/>
    </row>
    <row r="813" ht="12.75" customHeight="1">
      <c r="A813" s="30"/>
      <c r="B813" s="30"/>
      <c r="C813" s="30"/>
      <c r="D813" s="30"/>
      <c r="E813" s="30"/>
      <c r="F813" s="30"/>
      <c r="G813" s="44"/>
      <c r="H813" s="30"/>
      <c r="I813" s="30"/>
      <c r="J813" s="30"/>
      <c r="K813" s="30"/>
      <c r="L813" s="30"/>
      <c r="M813" s="30"/>
      <c r="N813" s="30"/>
      <c r="O813" s="30"/>
      <c r="P813" s="30"/>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c r="AN813" s="30"/>
      <c r="AO813" s="30"/>
      <c r="AP813" s="30"/>
      <c r="AQ813" s="30"/>
      <c r="AR813" s="30"/>
      <c r="AS813" s="30"/>
      <c r="AT813" s="30"/>
    </row>
    <row r="814" ht="12.75" customHeight="1">
      <c r="A814" s="30"/>
      <c r="B814" s="30"/>
      <c r="C814" s="30"/>
      <c r="D814" s="30"/>
      <c r="E814" s="30"/>
      <c r="F814" s="30"/>
      <c r="G814" s="44"/>
      <c r="H814" s="30"/>
      <c r="I814" s="30"/>
      <c r="J814" s="30"/>
      <c r="K814" s="30"/>
      <c r="L814" s="30"/>
      <c r="M814" s="30"/>
      <c r="N814" s="30"/>
      <c r="O814" s="30"/>
      <c r="P814" s="30"/>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c r="AN814" s="30"/>
      <c r="AO814" s="30"/>
      <c r="AP814" s="30"/>
      <c r="AQ814" s="30"/>
      <c r="AR814" s="30"/>
      <c r="AS814" s="30"/>
      <c r="AT814" s="30"/>
    </row>
    <row r="815" ht="12.75" customHeight="1">
      <c r="A815" s="30"/>
      <c r="B815" s="30"/>
      <c r="C815" s="30"/>
      <c r="D815" s="30"/>
      <c r="E815" s="30"/>
      <c r="F815" s="30"/>
      <c r="G815" s="44"/>
      <c r="H815" s="30"/>
      <c r="I815" s="30"/>
      <c r="J815" s="30"/>
      <c r="K815" s="30"/>
      <c r="L815" s="30"/>
      <c r="M815" s="30"/>
      <c r="N815" s="30"/>
      <c r="O815" s="30"/>
      <c r="P815" s="30"/>
      <c r="Q815" s="30"/>
      <c r="R815" s="30"/>
      <c r="S815" s="30"/>
      <c r="T815" s="30"/>
      <c r="U815" s="30"/>
      <c r="V815" s="30"/>
      <c r="W815" s="30"/>
      <c r="X815" s="30"/>
      <c r="Y815" s="30"/>
      <c r="Z815" s="30"/>
      <c r="AA815" s="30"/>
      <c r="AB815" s="30"/>
      <c r="AC815" s="30"/>
      <c r="AD815" s="30"/>
      <c r="AE815" s="30"/>
      <c r="AF815" s="30"/>
      <c r="AG815" s="30"/>
      <c r="AH815" s="30"/>
      <c r="AI815" s="30"/>
      <c r="AJ815" s="30"/>
      <c r="AK815" s="30"/>
      <c r="AL815" s="30"/>
      <c r="AM815" s="30"/>
      <c r="AN815" s="30"/>
      <c r="AO815" s="30"/>
      <c r="AP815" s="30"/>
      <c r="AQ815" s="30"/>
      <c r="AR815" s="30"/>
      <c r="AS815" s="30"/>
      <c r="AT815" s="30"/>
    </row>
    <row r="816" ht="12.75" customHeight="1">
      <c r="A816" s="30"/>
      <c r="B816" s="30"/>
      <c r="C816" s="30"/>
      <c r="D816" s="30"/>
      <c r="E816" s="30"/>
      <c r="F816" s="30"/>
      <c r="G816" s="44"/>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row>
    <row r="817" ht="12.75" customHeight="1">
      <c r="A817" s="30"/>
      <c r="B817" s="30"/>
      <c r="C817" s="30"/>
      <c r="D817" s="30"/>
      <c r="E817" s="30"/>
      <c r="F817" s="30"/>
      <c r="G817" s="44"/>
      <c r="H817" s="30"/>
      <c r="I817" s="30"/>
      <c r="J817" s="30"/>
      <c r="K817" s="30"/>
      <c r="L817" s="30"/>
      <c r="M817" s="30"/>
      <c r="N817" s="30"/>
      <c r="O817" s="30"/>
      <c r="P817" s="30"/>
      <c r="Q817" s="30"/>
      <c r="R817" s="30"/>
      <c r="S817" s="30"/>
      <c r="T817" s="30"/>
      <c r="U817" s="30"/>
      <c r="V817" s="30"/>
      <c r="W817" s="30"/>
      <c r="X817" s="30"/>
      <c r="Y817" s="30"/>
      <c r="Z817" s="30"/>
      <c r="AA817" s="30"/>
      <c r="AB817" s="30"/>
      <c r="AC817" s="30"/>
      <c r="AD817" s="30"/>
      <c r="AE817" s="30"/>
      <c r="AF817" s="30"/>
      <c r="AG817" s="30"/>
      <c r="AH817" s="30"/>
      <c r="AI817" s="30"/>
      <c r="AJ817" s="30"/>
      <c r="AK817" s="30"/>
      <c r="AL817" s="30"/>
      <c r="AM817" s="30"/>
      <c r="AN817" s="30"/>
      <c r="AO817" s="30"/>
      <c r="AP817" s="30"/>
      <c r="AQ817" s="30"/>
      <c r="AR817" s="30"/>
      <c r="AS817" s="30"/>
      <c r="AT817" s="30"/>
    </row>
    <row r="818" ht="12.75" customHeight="1">
      <c r="A818" s="30"/>
      <c r="B818" s="30"/>
      <c r="C818" s="30"/>
      <c r="D818" s="30"/>
      <c r="E818" s="30"/>
      <c r="F818" s="30"/>
      <c r="G818" s="44"/>
      <c r="H818" s="30"/>
      <c r="I818" s="30"/>
      <c r="J818" s="30"/>
      <c r="K818" s="30"/>
      <c r="L818" s="30"/>
      <c r="M818" s="30"/>
      <c r="N818" s="30"/>
      <c r="O818" s="30"/>
      <c r="P818" s="30"/>
      <c r="Q818" s="30"/>
      <c r="R818" s="30"/>
      <c r="S818" s="30"/>
      <c r="T818" s="30"/>
      <c r="U818" s="30"/>
      <c r="V818" s="30"/>
      <c r="W818" s="30"/>
      <c r="X818" s="30"/>
      <c r="Y818" s="30"/>
      <c r="Z818" s="30"/>
      <c r="AA818" s="30"/>
      <c r="AB818" s="30"/>
      <c r="AC818" s="30"/>
      <c r="AD818" s="30"/>
      <c r="AE818" s="30"/>
      <c r="AF818" s="30"/>
      <c r="AG818" s="30"/>
      <c r="AH818" s="30"/>
      <c r="AI818" s="30"/>
      <c r="AJ818" s="30"/>
      <c r="AK818" s="30"/>
      <c r="AL818" s="30"/>
      <c r="AM818" s="30"/>
      <c r="AN818" s="30"/>
      <c r="AO818" s="30"/>
      <c r="AP818" s="30"/>
      <c r="AQ818" s="30"/>
      <c r="AR818" s="30"/>
      <c r="AS818" s="30"/>
      <c r="AT818" s="30"/>
    </row>
    <row r="819" ht="12.75" customHeight="1">
      <c r="A819" s="30"/>
      <c r="B819" s="30"/>
      <c r="C819" s="30"/>
      <c r="D819" s="30"/>
      <c r="E819" s="30"/>
      <c r="F819" s="30"/>
      <c r="G819" s="44"/>
      <c r="H819" s="30"/>
      <c r="I819" s="30"/>
      <c r="J819" s="30"/>
      <c r="K819" s="30"/>
      <c r="L819" s="30"/>
      <c r="M819" s="30"/>
      <c r="N819" s="30"/>
      <c r="O819" s="30"/>
      <c r="P819" s="30"/>
      <c r="Q819" s="30"/>
      <c r="R819" s="30"/>
      <c r="S819" s="30"/>
      <c r="T819" s="30"/>
      <c r="U819" s="30"/>
      <c r="V819" s="30"/>
      <c r="W819" s="30"/>
      <c r="X819" s="30"/>
      <c r="Y819" s="30"/>
      <c r="Z819" s="30"/>
      <c r="AA819" s="30"/>
      <c r="AB819" s="30"/>
      <c r="AC819" s="30"/>
      <c r="AD819" s="30"/>
      <c r="AE819" s="30"/>
      <c r="AF819" s="30"/>
      <c r="AG819" s="30"/>
      <c r="AH819" s="30"/>
      <c r="AI819" s="30"/>
      <c r="AJ819" s="30"/>
      <c r="AK819" s="30"/>
      <c r="AL819" s="30"/>
      <c r="AM819" s="30"/>
      <c r="AN819" s="30"/>
      <c r="AO819" s="30"/>
      <c r="AP819" s="30"/>
      <c r="AQ819" s="30"/>
      <c r="AR819" s="30"/>
      <c r="AS819" s="30"/>
      <c r="AT819" s="30"/>
    </row>
    <row r="820" ht="12.75" customHeight="1">
      <c r="A820" s="30"/>
      <c r="B820" s="30"/>
      <c r="C820" s="30"/>
      <c r="D820" s="30"/>
      <c r="E820" s="30"/>
      <c r="F820" s="30"/>
      <c r="G820" s="44"/>
      <c r="H820" s="30"/>
      <c r="I820" s="30"/>
      <c r="J820" s="30"/>
      <c r="K820" s="30"/>
      <c r="L820" s="30"/>
      <c r="M820" s="30"/>
      <c r="N820" s="30"/>
      <c r="O820" s="30"/>
      <c r="P820" s="30"/>
      <c r="Q820" s="30"/>
      <c r="R820" s="30"/>
      <c r="S820" s="30"/>
      <c r="T820" s="30"/>
      <c r="U820" s="30"/>
      <c r="V820" s="30"/>
      <c r="W820" s="30"/>
      <c r="X820" s="30"/>
      <c r="Y820" s="30"/>
      <c r="Z820" s="30"/>
      <c r="AA820" s="30"/>
      <c r="AB820" s="30"/>
      <c r="AC820" s="30"/>
      <c r="AD820" s="30"/>
      <c r="AE820" s="30"/>
      <c r="AF820" s="30"/>
      <c r="AG820" s="30"/>
      <c r="AH820" s="30"/>
      <c r="AI820" s="30"/>
      <c r="AJ820" s="30"/>
      <c r="AK820" s="30"/>
      <c r="AL820" s="30"/>
      <c r="AM820" s="30"/>
      <c r="AN820" s="30"/>
      <c r="AO820" s="30"/>
      <c r="AP820" s="30"/>
      <c r="AQ820" s="30"/>
      <c r="AR820" s="30"/>
      <c r="AS820" s="30"/>
      <c r="AT820" s="30"/>
    </row>
    <row r="821" ht="12.75" customHeight="1">
      <c r="A821" s="30"/>
      <c r="B821" s="30"/>
      <c r="C821" s="30"/>
      <c r="D821" s="30"/>
      <c r="E821" s="30"/>
      <c r="F821" s="30"/>
      <c r="G821" s="44"/>
      <c r="H821" s="30"/>
      <c r="I821" s="30"/>
      <c r="J821" s="30"/>
      <c r="K821" s="30"/>
      <c r="L821" s="30"/>
      <c r="M821" s="30"/>
      <c r="N821" s="30"/>
      <c r="O821" s="30"/>
      <c r="P821" s="30"/>
      <c r="Q821" s="30"/>
      <c r="R821" s="30"/>
      <c r="S821" s="30"/>
      <c r="T821" s="30"/>
      <c r="U821" s="30"/>
      <c r="V821" s="30"/>
      <c r="W821" s="30"/>
      <c r="X821" s="30"/>
      <c r="Y821" s="30"/>
      <c r="Z821" s="30"/>
      <c r="AA821" s="30"/>
      <c r="AB821" s="30"/>
      <c r="AC821" s="30"/>
      <c r="AD821" s="30"/>
      <c r="AE821" s="30"/>
      <c r="AF821" s="30"/>
      <c r="AG821" s="30"/>
      <c r="AH821" s="30"/>
      <c r="AI821" s="30"/>
      <c r="AJ821" s="30"/>
      <c r="AK821" s="30"/>
      <c r="AL821" s="30"/>
      <c r="AM821" s="30"/>
      <c r="AN821" s="30"/>
      <c r="AO821" s="30"/>
      <c r="AP821" s="30"/>
      <c r="AQ821" s="30"/>
      <c r="AR821" s="30"/>
      <c r="AS821" s="30"/>
      <c r="AT821" s="30"/>
    </row>
    <row r="822" ht="12.75" customHeight="1">
      <c r="A822" s="30"/>
      <c r="B822" s="30"/>
      <c r="C822" s="30"/>
      <c r="D822" s="30"/>
      <c r="E822" s="30"/>
      <c r="F822" s="30"/>
      <c r="G822" s="44"/>
      <c r="H822" s="30"/>
      <c r="I822" s="30"/>
      <c r="J822" s="30"/>
      <c r="K822" s="30"/>
      <c r="L822" s="30"/>
      <c r="M822" s="30"/>
      <c r="N822" s="30"/>
      <c r="O822" s="30"/>
      <c r="P822" s="30"/>
      <c r="Q822" s="30"/>
      <c r="R822" s="30"/>
      <c r="S822" s="30"/>
      <c r="T822" s="30"/>
      <c r="U822" s="30"/>
      <c r="V822" s="30"/>
      <c r="W822" s="30"/>
      <c r="X822" s="30"/>
      <c r="Y822" s="30"/>
      <c r="Z822" s="30"/>
      <c r="AA822" s="30"/>
      <c r="AB822" s="30"/>
      <c r="AC822" s="30"/>
      <c r="AD822" s="30"/>
      <c r="AE822" s="30"/>
      <c r="AF822" s="30"/>
      <c r="AG822" s="30"/>
      <c r="AH822" s="30"/>
      <c r="AI822" s="30"/>
      <c r="AJ822" s="30"/>
      <c r="AK822" s="30"/>
      <c r="AL822" s="30"/>
      <c r="AM822" s="30"/>
      <c r="AN822" s="30"/>
      <c r="AO822" s="30"/>
      <c r="AP822" s="30"/>
      <c r="AQ822" s="30"/>
      <c r="AR822" s="30"/>
      <c r="AS822" s="30"/>
      <c r="AT822" s="30"/>
    </row>
    <row r="823" ht="12.75" customHeight="1">
      <c r="A823" s="30"/>
      <c r="B823" s="30"/>
      <c r="C823" s="30"/>
      <c r="D823" s="30"/>
      <c r="E823" s="30"/>
      <c r="F823" s="30"/>
      <c r="G823" s="44"/>
      <c r="H823" s="30"/>
      <c r="I823" s="30"/>
      <c r="J823" s="30"/>
      <c r="K823" s="30"/>
      <c r="L823" s="30"/>
      <c r="M823" s="30"/>
      <c r="N823" s="30"/>
      <c r="O823" s="30"/>
      <c r="P823" s="30"/>
      <c r="Q823" s="30"/>
      <c r="R823" s="30"/>
      <c r="S823" s="30"/>
      <c r="T823" s="30"/>
      <c r="U823" s="30"/>
      <c r="V823" s="30"/>
      <c r="W823" s="30"/>
      <c r="X823" s="30"/>
      <c r="Y823" s="30"/>
      <c r="Z823" s="30"/>
      <c r="AA823" s="30"/>
      <c r="AB823" s="30"/>
      <c r="AC823" s="30"/>
      <c r="AD823" s="30"/>
      <c r="AE823" s="30"/>
      <c r="AF823" s="30"/>
      <c r="AG823" s="30"/>
      <c r="AH823" s="30"/>
      <c r="AI823" s="30"/>
      <c r="AJ823" s="30"/>
      <c r="AK823" s="30"/>
      <c r="AL823" s="30"/>
      <c r="AM823" s="30"/>
      <c r="AN823" s="30"/>
      <c r="AO823" s="30"/>
      <c r="AP823" s="30"/>
      <c r="AQ823" s="30"/>
      <c r="AR823" s="30"/>
      <c r="AS823" s="30"/>
      <c r="AT823" s="30"/>
    </row>
    <row r="824" ht="12.75" customHeight="1">
      <c r="A824" s="30"/>
      <c r="B824" s="30"/>
      <c r="C824" s="30"/>
      <c r="D824" s="30"/>
      <c r="E824" s="30"/>
      <c r="F824" s="30"/>
      <c r="G824" s="44"/>
      <c r="H824" s="30"/>
      <c r="I824" s="30"/>
      <c r="J824" s="30"/>
      <c r="K824" s="30"/>
      <c r="L824" s="30"/>
      <c r="M824" s="30"/>
      <c r="N824" s="30"/>
      <c r="O824" s="30"/>
      <c r="P824" s="30"/>
      <c r="Q824" s="30"/>
      <c r="R824" s="30"/>
      <c r="S824" s="30"/>
      <c r="T824" s="30"/>
      <c r="U824" s="30"/>
      <c r="V824" s="30"/>
      <c r="W824" s="30"/>
      <c r="X824" s="30"/>
      <c r="Y824" s="30"/>
      <c r="Z824" s="30"/>
      <c r="AA824" s="30"/>
      <c r="AB824" s="30"/>
      <c r="AC824" s="30"/>
      <c r="AD824" s="30"/>
      <c r="AE824" s="30"/>
      <c r="AF824" s="30"/>
      <c r="AG824" s="30"/>
      <c r="AH824" s="30"/>
      <c r="AI824" s="30"/>
      <c r="AJ824" s="30"/>
      <c r="AK824" s="30"/>
      <c r="AL824" s="30"/>
      <c r="AM824" s="30"/>
      <c r="AN824" s="30"/>
      <c r="AO824" s="30"/>
      <c r="AP824" s="30"/>
      <c r="AQ824" s="30"/>
      <c r="AR824" s="30"/>
      <c r="AS824" s="30"/>
      <c r="AT824" s="30"/>
    </row>
    <row r="825" ht="12.75" customHeight="1">
      <c r="A825" s="30"/>
      <c r="B825" s="30"/>
      <c r="C825" s="30"/>
      <c r="D825" s="30"/>
      <c r="E825" s="30"/>
      <c r="F825" s="30"/>
      <c r="G825" s="44"/>
      <c r="H825" s="30"/>
      <c r="I825" s="30"/>
      <c r="J825" s="30"/>
      <c r="K825" s="30"/>
      <c r="L825" s="30"/>
      <c r="M825" s="30"/>
      <c r="N825" s="30"/>
      <c r="O825" s="30"/>
      <c r="P825" s="30"/>
      <c r="Q825" s="30"/>
      <c r="R825" s="30"/>
      <c r="S825" s="30"/>
      <c r="T825" s="30"/>
      <c r="U825" s="30"/>
      <c r="V825" s="30"/>
      <c r="W825" s="30"/>
      <c r="X825" s="30"/>
      <c r="Y825" s="30"/>
      <c r="Z825" s="30"/>
      <c r="AA825" s="30"/>
      <c r="AB825" s="30"/>
      <c r="AC825" s="30"/>
      <c r="AD825" s="30"/>
      <c r="AE825" s="30"/>
      <c r="AF825" s="30"/>
      <c r="AG825" s="30"/>
      <c r="AH825" s="30"/>
      <c r="AI825" s="30"/>
      <c r="AJ825" s="30"/>
      <c r="AK825" s="30"/>
      <c r="AL825" s="30"/>
      <c r="AM825" s="30"/>
      <c r="AN825" s="30"/>
      <c r="AO825" s="30"/>
      <c r="AP825" s="30"/>
      <c r="AQ825" s="30"/>
      <c r="AR825" s="30"/>
      <c r="AS825" s="30"/>
      <c r="AT825" s="30"/>
    </row>
    <row r="826" ht="12.75" customHeight="1">
      <c r="A826" s="30"/>
      <c r="B826" s="30"/>
      <c r="C826" s="30"/>
      <c r="D826" s="30"/>
      <c r="E826" s="30"/>
      <c r="F826" s="30"/>
      <c r="G826" s="44"/>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row>
    <row r="827" ht="12.75" customHeight="1">
      <c r="A827" s="30"/>
      <c r="B827" s="30"/>
      <c r="C827" s="30"/>
      <c r="D827" s="30"/>
      <c r="E827" s="30"/>
      <c r="F827" s="30"/>
      <c r="G827" s="44"/>
      <c r="H827" s="30"/>
      <c r="I827" s="30"/>
      <c r="J827" s="30"/>
      <c r="K827" s="30"/>
      <c r="L827" s="30"/>
      <c r="M827" s="30"/>
      <c r="N827" s="30"/>
      <c r="O827" s="30"/>
      <c r="P827" s="30"/>
      <c r="Q827" s="30"/>
      <c r="R827" s="30"/>
      <c r="S827" s="30"/>
      <c r="T827" s="30"/>
      <c r="U827" s="30"/>
      <c r="V827" s="30"/>
      <c r="W827" s="30"/>
      <c r="X827" s="30"/>
      <c r="Y827" s="30"/>
      <c r="Z827" s="30"/>
      <c r="AA827" s="30"/>
      <c r="AB827" s="30"/>
      <c r="AC827" s="30"/>
      <c r="AD827" s="30"/>
      <c r="AE827" s="30"/>
      <c r="AF827" s="30"/>
      <c r="AG827" s="30"/>
      <c r="AH827" s="30"/>
      <c r="AI827" s="30"/>
      <c r="AJ827" s="30"/>
      <c r="AK827" s="30"/>
      <c r="AL827" s="30"/>
      <c r="AM827" s="30"/>
      <c r="AN827" s="30"/>
      <c r="AO827" s="30"/>
      <c r="AP827" s="30"/>
      <c r="AQ827" s="30"/>
      <c r="AR827" s="30"/>
      <c r="AS827" s="30"/>
      <c r="AT827" s="30"/>
    </row>
    <row r="828" ht="12.75" customHeight="1">
      <c r="A828" s="30"/>
      <c r="B828" s="30"/>
      <c r="C828" s="30"/>
      <c r="D828" s="30"/>
      <c r="E828" s="30"/>
      <c r="F828" s="30"/>
      <c r="G828" s="44"/>
      <c r="H828" s="30"/>
      <c r="I828" s="30"/>
      <c r="J828" s="30"/>
      <c r="K828" s="30"/>
      <c r="L828" s="30"/>
      <c r="M828" s="30"/>
      <c r="N828" s="30"/>
      <c r="O828" s="30"/>
      <c r="P828" s="30"/>
      <c r="Q828" s="30"/>
      <c r="R828" s="30"/>
      <c r="S828" s="30"/>
      <c r="T828" s="30"/>
      <c r="U828" s="30"/>
      <c r="V828" s="30"/>
      <c r="W828" s="30"/>
      <c r="X828" s="30"/>
      <c r="Y828" s="30"/>
      <c r="Z828" s="30"/>
      <c r="AA828" s="30"/>
      <c r="AB828" s="30"/>
      <c r="AC828" s="30"/>
      <c r="AD828" s="30"/>
      <c r="AE828" s="30"/>
      <c r="AF828" s="30"/>
      <c r="AG828" s="30"/>
      <c r="AH828" s="30"/>
      <c r="AI828" s="30"/>
      <c r="AJ828" s="30"/>
      <c r="AK828" s="30"/>
      <c r="AL828" s="30"/>
      <c r="AM828" s="30"/>
      <c r="AN828" s="30"/>
      <c r="AO828" s="30"/>
      <c r="AP828" s="30"/>
      <c r="AQ828" s="30"/>
      <c r="AR828" s="30"/>
      <c r="AS828" s="30"/>
      <c r="AT828" s="30"/>
    </row>
    <row r="829" ht="12.75" customHeight="1">
      <c r="A829" s="30"/>
      <c r="B829" s="30"/>
      <c r="C829" s="30"/>
      <c r="D829" s="30"/>
      <c r="E829" s="30"/>
      <c r="F829" s="30"/>
      <c r="G829" s="44"/>
      <c r="H829" s="30"/>
      <c r="I829" s="30"/>
      <c r="J829" s="30"/>
      <c r="K829" s="30"/>
      <c r="L829" s="30"/>
      <c r="M829" s="30"/>
      <c r="N829" s="30"/>
      <c r="O829" s="30"/>
      <c r="P829" s="30"/>
      <c r="Q829" s="30"/>
      <c r="R829" s="30"/>
      <c r="S829" s="30"/>
      <c r="T829" s="30"/>
      <c r="U829" s="30"/>
      <c r="V829" s="30"/>
      <c r="W829" s="30"/>
      <c r="X829" s="30"/>
      <c r="Y829" s="30"/>
      <c r="Z829" s="30"/>
      <c r="AA829" s="30"/>
      <c r="AB829" s="30"/>
      <c r="AC829" s="30"/>
      <c r="AD829" s="30"/>
      <c r="AE829" s="30"/>
      <c r="AF829" s="30"/>
      <c r="AG829" s="30"/>
      <c r="AH829" s="30"/>
      <c r="AI829" s="30"/>
      <c r="AJ829" s="30"/>
      <c r="AK829" s="30"/>
      <c r="AL829" s="30"/>
      <c r="AM829" s="30"/>
      <c r="AN829" s="30"/>
      <c r="AO829" s="30"/>
      <c r="AP829" s="30"/>
      <c r="AQ829" s="30"/>
      <c r="AR829" s="30"/>
      <c r="AS829" s="30"/>
      <c r="AT829" s="30"/>
    </row>
    <row r="830" ht="12.75" customHeight="1">
      <c r="A830" s="30"/>
      <c r="B830" s="30"/>
      <c r="C830" s="30"/>
      <c r="D830" s="30"/>
      <c r="E830" s="30"/>
      <c r="F830" s="30"/>
      <c r="G830" s="44"/>
      <c r="H830" s="30"/>
      <c r="I830" s="30"/>
      <c r="J830" s="30"/>
      <c r="K830" s="30"/>
      <c r="L830" s="30"/>
      <c r="M830" s="30"/>
      <c r="N830" s="30"/>
      <c r="O830" s="30"/>
      <c r="P830" s="30"/>
      <c r="Q830" s="30"/>
      <c r="R830" s="30"/>
      <c r="S830" s="30"/>
      <c r="T830" s="30"/>
      <c r="U830" s="30"/>
      <c r="V830" s="30"/>
      <c r="W830" s="30"/>
      <c r="X830" s="30"/>
      <c r="Y830" s="30"/>
      <c r="Z830" s="30"/>
      <c r="AA830" s="30"/>
      <c r="AB830" s="30"/>
      <c r="AC830" s="30"/>
      <c r="AD830" s="30"/>
      <c r="AE830" s="30"/>
      <c r="AF830" s="30"/>
      <c r="AG830" s="30"/>
      <c r="AH830" s="30"/>
      <c r="AI830" s="30"/>
      <c r="AJ830" s="30"/>
      <c r="AK830" s="30"/>
      <c r="AL830" s="30"/>
      <c r="AM830" s="30"/>
      <c r="AN830" s="30"/>
      <c r="AO830" s="30"/>
      <c r="AP830" s="30"/>
      <c r="AQ830" s="30"/>
      <c r="AR830" s="30"/>
      <c r="AS830" s="30"/>
      <c r="AT830" s="30"/>
    </row>
    <row r="831" ht="12.75" customHeight="1">
      <c r="A831" s="30"/>
      <c r="B831" s="30"/>
      <c r="C831" s="30"/>
      <c r="D831" s="30"/>
      <c r="E831" s="30"/>
      <c r="F831" s="30"/>
      <c r="G831" s="44"/>
      <c r="H831" s="30"/>
      <c r="I831" s="30"/>
      <c r="J831" s="30"/>
      <c r="K831" s="30"/>
      <c r="L831" s="30"/>
      <c r="M831" s="30"/>
      <c r="N831" s="30"/>
      <c r="O831" s="30"/>
      <c r="P831" s="30"/>
      <c r="Q831" s="30"/>
      <c r="R831" s="30"/>
      <c r="S831" s="30"/>
      <c r="T831" s="30"/>
      <c r="U831" s="30"/>
      <c r="V831" s="30"/>
      <c r="W831" s="30"/>
      <c r="X831" s="30"/>
      <c r="Y831" s="30"/>
      <c r="Z831" s="30"/>
      <c r="AA831" s="30"/>
      <c r="AB831" s="30"/>
      <c r="AC831" s="30"/>
      <c r="AD831" s="30"/>
      <c r="AE831" s="30"/>
      <c r="AF831" s="30"/>
      <c r="AG831" s="30"/>
      <c r="AH831" s="30"/>
      <c r="AI831" s="30"/>
      <c r="AJ831" s="30"/>
      <c r="AK831" s="30"/>
      <c r="AL831" s="30"/>
      <c r="AM831" s="30"/>
      <c r="AN831" s="30"/>
      <c r="AO831" s="30"/>
      <c r="AP831" s="30"/>
      <c r="AQ831" s="30"/>
      <c r="AR831" s="30"/>
      <c r="AS831" s="30"/>
      <c r="AT831" s="30"/>
    </row>
    <row r="832" ht="12.75" customHeight="1">
      <c r="A832" s="30"/>
      <c r="B832" s="30"/>
      <c r="C832" s="30"/>
      <c r="D832" s="30"/>
      <c r="E832" s="30"/>
      <c r="F832" s="30"/>
      <c r="G832" s="44"/>
      <c r="H832" s="30"/>
      <c r="I832" s="30"/>
      <c r="J832" s="30"/>
      <c r="K832" s="30"/>
      <c r="L832" s="30"/>
      <c r="M832" s="30"/>
      <c r="N832" s="30"/>
      <c r="O832" s="30"/>
      <c r="P832" s="30"/>
      <c r="Q832" s="30"/>
      <c r="R832" s="30"/>
      <c r="S832" s="30"/>
      <c r="T832" s="30"/>
      <c r="U832" s="30"/>
      <c r="V832" s="30"/>
      <c r="W832" s="30"/>
      <c r="X832" s="30"/>
      <c r="Y832" s="30"/>
      <c r="Z832" s="30"/>
      <c r="AA832" s="30"/>
      <c r="AB832" s="30"/>
      <c r="AC832" s="30"/>
      <c r="AD832" s="30"/>
      <c r="AE832" s="30"/>
      <c r="AF832" s="30"/>
      <c r="AG832" s="30"/>
      <c r="AH832" s="30"/>
      <c r="AI832" s="30"/>
      <c r="AJ832" s="30"/>
      <c r="AK832" s="30"/>
      <c r="AL832" s="30"/>
      <c r="AM832" s="30"/>
      <c r="AN832" s="30"/>
      <c r="AO832" s="30"/>
      <c r="AP832" s="30"/>
      <c r="AQ832" s="30"/>
      <c r="AR832" s="30"/>
      <c r="AS832" s="30"/>
      <c r="AT832" s="30"/>
    </row>
    <row r="833" ht="12.75" customHeight="1">
      <c r="A833" s="30"/>
      <c r="B833" s="30"/>
      <c r="C833" s="30"/>
      <c r="D833" s="30"/>
      <c r="E833" s="30"/>
      <c r="F833" s="30"/>
      <c r="G833" s="44"/>
      <c r="H833" s="30"/>
      <c r="I833" s="30"/>
      <c r="J833" s="30"/>
      <c r="K833" s="30"/>
      <c r="L833" s="30"/>
      <c r="M833" s="30"/>
      <c r="N833" s="30"/>
      <c r="O833" s="30"/>
      <c r="P833" s="30"/>
      <c r="Q833" s="30"/>
      <c r="R833" s="30"/>
      <c r="S833" s="30"/>
      <c r="T833" s="30"/>
      <c r="U833" s="30"/>
      <c r="V833" s="30"/>
      <c r="W833" s="30"/>
      <c r="X833" s="30"/>
      <c r="Y833" s="30"/>
      <c r="Z833" s="30"/>
      <c r="AA833" s="30"/>
      <c r="AB833" s="30"/>
      <c r="AC833" s="30"/>
      <c r="AD833" s="30"/>
      <c r="AE833" s="30"/>
      <c r="AF833" s="30"/>
      <c r="AG833" s="30"/>
      <c r="AH833" s="30"/>
      <c r="AI833" s="30"/>
      <c r="AJ833" s="30"/>
      <c r="AK833" s="30"/>
      <c r="AL833" s="30"/>
      <c r="AM833" s="30"/>
      <c r="AN833" s="30"/>
      <c r="AO833" s="30"/>
      <c r="AP833" s="30"/>
      <c r="AQ833" s="30"/>
      <c r="AR833" s="30"/>
      <c r="AS833" s="30"/>
      <c r="AT833" s="30"/>
    </row>
    <row r="834" ht="12.75" customHeight="1">
      <c r="A834" s="30"/>
      <c r="B834" s="30"/>
      <c r="C834" s="30"/>
      <c r="D834" s="30"/>
      <c r="E834" s="30"/>
      <c r="F834" s="30"/>
      <c r="G834" s="44"/>
      <c r="H834" s="30"/>
      <c r="I834" s="30"/>
      <c r="J834" s="30"/>
      <c r="K834" s="30"/>
      <c r="L834" s="30"/>
      <c r="M834" s="30"/>
      <c r="N834" s="30"/>
      <c r="O834" s="30"/>
      <c r="P834" s="30"/>
      <c r="Q834" s="30"/>
      <c r="R834" s="30"/>
      <c r="S834" s="30"/>
      <c r="T834" s="30"/>
      <c r="U834" s="30"/>
      <c r="V834" s="30"/>
      <c r="W834" s="30"/>
      <c r="X834" s="30"/>
      <c r="Y834" s="30"/>
      <c r="Z834" s="30"/>
      <c r="AA834" s="30"/>
      <c r="AB834" s="30"/>
      <c r="AC834" s="30"/>
      <c r="AD834" s="30"/>
      <c r="AE834" s="30"/>
      <c r="AF834" s="30"/>
      <c r="AG834" s="30"/>
      <c r="AH834" s="30"/>
      <c r="AI834" s="30"/>
      <c r="AJ834" s="30"/>
      <c r="AK834" s="30"/>
      <c r="AL834" s="30"/>
      <c r="AM834" s="30"/>
      <c r="AN834" s="30"/>
      <c r="AO834" s="30"/>
      <c r="AP834" s="30"/>
      <c r="AQ834" s="30"/>
      <c r="AR834" s="30"/>
      <c r="AS834" s="30"/>
      <c r="AT834" s="30"/>
    </row>
    <row r="835" ht="12.75" customHeight="1">
      <c r="A835" s="30"/>
      <c r="B835" s="30"/>
      <c r="C835" s="30"/>
      <c r="D835" s="30"/>
      <c r="E835" s="30"/>
      <c r="F835" s="30"/>
      <c r="G835" s="44"/>
      <c r="H835" s="30"/>
      <c r="I835" s="30"/>
      <c r="J835" s="30"/>
      <c r="K835" s="30"/>
      <c r="L835" s="30"/>
      <c r="M835" s="30"/>
      <c r="N835" s="30"/>
      <c r="O835" s="30"/>
      <c r="P835" s="30"/>
      <c r="Q835" s="30"/>
      <c r="R835" s="30"/>
      <c r="S835" s="30"/>
      <c r="T835" s="30"/>
      <c r="U835" s="30"/>
      <c r="V835" s="30"/>
      <c r="W835" s="30"/>
      <c r="X835" s="30"/>
      <c r="Y835" s="30"/>
      <c r="Z835" s="30"/>
      <c r="AA835" s="30"/>
      <c r="AB835" s="30"/>
      <c r="AC835" s="30"/>
      <c r="AD835" s="30"/>
      <c r="AE835" s="30"/>
      <c r="AF835" s="30"/>
      <c r="AG835" s="30"/>
      <c r="AH835" s="30"/>
      <c r="AI835" s="30"/>
      <c r="AJ835" s="30"/>
      <c r="AK835" s="30"/>
      <c r="AL835" s="30"/>
      <c r="AM835" s="30"/>
      <c r="AN835" s="30"/>
      <c r="AO835" s="30"/>
      <c r="AP835" s="30"/>
      <c r="AQ835" s="30"/>
      <c r="AR835" s="30"/>
      <c r="AS835" s="30"/>
      <c r="AT835" s="30"/>
    </row>
    <row r="836" ht="12.75" customHeight="1">
      <c r="A836" s="30"/>
      <c r="B836" s="30"/>
      <c r="C836" s="30"/>
      <c r="D836" s="30"/>
      <c r="E836" s="30"/>
      <c r="F836" s="30"/>
      <c r="G836" s="44"/>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row>
    <row r="837" ht="12.75" customHeight="1">
      <c r="A837" s="30"/>
      <c r="B837" s="30"/>
      <c r="C837" s="30"/>
      <c r="D837" s="30"/>
      <c r="E837" s="30"/>
      <c r="F837" s="30"/>
      <c r="G837" s="44"/>
      <c r="H837" s="30"/>
      <c r="I837" s="30"/>
      <c r="J837" s="30"/>
      <c r="K837" s="30"/>
      <c r="L837" s="30"/>
      <c r="M837" s="30"/>
      <c r="N837" s="30"/>
      <c r="O837" s="30"/>
      <c r="P837" s="30"/>
      <c r="Q837" s="30"/>
      <c r="R837" s="30"/>
      <c r="S837" s="30"/>
      <c r="T837" s="30"/>
      <c r="U837" s="30"/>
      <c r="V837" s="30"/>
      <c r="W837" s="30"/>
      <c r="X837" s="30"/>
      <c r="Y837" s="30"/>
      <c r="Z837" s="30"/>
      <c r="AA837" s="30"/>
      <c r="AB837" s="30"/>
      <c r="AC837" s="30"/>
      <c r="AD837" s="30"/>
      <c r="AE837" s="30"/>
      <c r="AF837" s="30"/>
      <c r="AG837" s="30"/>
      <c r="AH837" s="30"/>
      <c r="AI837" s="30"/>
      <c r="AJ837" s="30"/>
      <c r="AK837" s="30"/>
      <c r="AL837" s="30"/>
      <c r="AM837" s="30"/>
      <c r="AN837" s="30"/>
      <c r="AO837" s="30"/>
      <c r="AP837" s="30"/>
      <c r="AQ837" s="30"/>
      <c r="AR837" s="30"/>
      <c r="AS837" s="30"/>
      <c r="AT837" s="30"/>
    </row>
    <row r="838" ht="12.75" customHeight="1">
      <c r="A838" s="30"/>
      <c r="B838" s="30"/>
      <c r="C838" s="30"/>
      <c r="D838" s="30"/>
      <c r="E838" s="30"/>
      <c r="F838" s="30"/>
      <c r="G838" s="44"/>
      <c r="H838" s="30"/>
      <c r="I838" s="30"/>
      <c r="J838" s="30"/>
      <c r="K838" s="30"/>
      <c r="L838" s="30"/>
      <c r="M838" s="30"/>
      <c r="N838" s="30"/>
      <c r="O838" s="30"/>
      <c r="P838" s="30"/>
      <c r="Q838" s="30"/>
      <c r="R838" s="30"/>
      <c r="S838" s="30"/>
      <c r="T838" s="30"/>
      <c r="U838" s="30"/>
      <c r="V838" s="30"/>
      <c r="W838" s="30"/>
      <c r="X838" s="30"/>
      <c r="Y838" s="30"/>
      <c r="Z838" s="30"/>
      <c r="AA838" s="30"/>
      <c r="AB838" s="30"/>
      <c r="AC838" s="30"/>
      <c r="AD838" s="30"/>
      <c r="AE838" s="30"/>
      <c r="AF838" s="30"/>
      <c r="AG838" s="30"/>
      <c r="AH838" s="30"/>
      <c r="AI838" s="30"/>
      <c r="AJ838" s="30"/>
      <c r="AK838" s="30"/>
      <c r="AL838" s="30"/>
      <c r="AM838" s="30"/>
      <c r="AN838" s="30"/>
      <c r="AO838" s="30"/>
      <c r="AP838" s="30"/>
      <c r="AQ838" s="30"/>
      <c r="AR838" s="30"/>
      <c r="AS838" s="30"/>
      <c r="AT838" s="30"/>
    </row>
    <row r="839" ht="12.75" customHeight="1">
      <c r="A839" s="30"/>
      <c r="B839" s="30"/>
      <c r="C839" s="30"/>
      <c r="D839" s="30"/>
      <c r="E839" s="30"/>
      <c r="F839" s="30"/>
      <c r="G839" s="44"/>
      <c r="H839" s="30"/>
      <c r="I839" s="30"/>
      <c r="J839" s="30"/>
      <c r="K839" s="30"/>
      <c r="L839" s="30"/>
      <c r="M839" s="30"/>
      <c r="N839" s="30"/>
      <c r="O839" s="30"/>
      <c r="P839" s="30"/>
      <c r="Q839" s="30"/>
      <c r="R839" s="30"/>
      <c r="S839" s="30"/>
      <c r="T839" s="30"/>
      <c r="U839" s="30"/>
      <c r="V839" s="30"/>
      <c r="W839" s="30"/>
      <c r="X839" s="30"/>
      <c r="Y839" s="30"/>
      <c r="Z839" s="30"/>
      <c r="AA839" s="30"/>
      <c r="AB839" s="30"/>
      <c r="AC839" s="30"/>
      <c r="AD839" s="30"/>
      <c r="AE839" s="30"/>
      <c r="AF839" s="30"/>
      <c r="AG839" s="30"/>
      <c r="AH839" s="30"/>
      <c r="AI839" s="30"/>
      <c r="AJ839" s="30"/>
      <c r="AK839" s="30"/>
      <c r="AL839" s="30"/>
      <c r="AM839" s="30"/>
      <c r="AN839" s="30"/>
      <c r="AO839" s="30"/>
      <c r="AP839" s="30"/>
      <c r="AQ839" s="30"/>
      <c r="AR839" s="30"/>
      <c r="AS839" s="30"/>
      <c r="AT839" s="30"/>
    </row>
    <row r="840" ht="12.75" customHeight="1">
      <c r="A840" s="30"/>
      <c r="B840" s="30"/>
      <c r="C840" s="30"/>
      <c r="D840" s="30"/>
      <c r="E840" s="30"/>
      <c r="F840" s="30"/>
      <c r="G840" s="44"/>
      <c r="H840" s="30"/>
      <c r="I840" s="30"/>
      <c r="J840" s="30"/>
      <c r="K840" s="30"/>
      <c r="L840" s="30"/>
      <c r="M840" s="30"/>
      <c r="N840" s="30"/>
      <c r="O840" s="30"/>
      <c r="P840" s="30"/>
      <c r="Q840" s="30"/>
      <c r="R840" s="30"/>
      <c r="S840" s="30"/>
      <c r="T840" s="30"/>
      <c r="U840" s="30"/>
      <c r="V840" s="30"/>
      <c r="W840" s="30"/>
      <c r="X840" s="30"/>
      <c r="Y840" s="30"/>
      <c r="Z840" s="30"/>
      <c r="AA840" s="30"/>
      <c r="AB840" s="30"/>
      <c r="AC840" s="30"/>
      <c r="AD840" s="30"/>
      <c r="AE840" s="30"/>
      <c r="AF840" s="30"/>
      <c r="AG840" s="30"/>
      <c r="AH840" s="30"/>
      <c r="AI840" s="30"/>
      <c r="AJ840" s="30"/>
      <c r="AK840" s="30"/>
      <c r="AL840" s="30"/>
      <c r="AM840" s="30"/>
      <c r="AN840" s="30"/>
      <c r="AO840" s="30"/>
      <c r="AP840" s="30"/>
      <c r="AQ840" s="30"/>
      <c r="AR840" s="30"/>
      <c r="AS840" s="30"/>
      <c r="AT840" s="30"/>
    </row>
    <row r="841" ht="12.75" customHeight="1">
      <c r="A841" s="30"/>
      <c r="B841" s="30"/>
      <c r="C841" s="30"/>
      <c r="D841" s="30"/>
      <c r="E841" s="30"/>
      <c r="F841" s="30"/>
      <c r="G841" s="44"/>
      <c r="H841" s="30"/>
      <c r="I841" s="30"/>
      <c r="J841" s="30"/>
      <c r="K841" s="30"/>
      <c r="L841" s="30"/>
      <c r="M841" s="30"/>
      <c r="N841" s="30"/>
      <c r="O841" s="30"/>
      <c r="P841" s="30"/>
      <c r="Q841" s="30"/>
      <c r="R841" s="30"/>
      <c r="S841" s="30"/>
      <c r="T841" s="30"/>
      <c r="U841" s="30"/>
      <c r="V841" s="30"/>
      <c r="W841" s="30"/>
      <c r="X841" s="30"/>
      <c r="Y841" s="30"/>
      <c r="Z841" s="30"/>
      <c r="AA841" s="30"/>
      <c r="AB841" s="30"/>
      <c r="AC841" s="30"/>
      <c r="AD841" s="30"/>
      <c r="AE841" s="30"/>
      <c r="AF841" s="30"/>
      <c r="AG841" s="30"/>
      <c r="AH841" s="30"/>
      <c r="AI841" s="30"/>
      <c r="AJ841" s="30"/>
      <c r="AK841" s="30"/>
      <c r="AL841" s="30"/>
      <c r="AM841" s="30"/>
      <c r="AN841" s="30"/>
      <c r="AO841" s="30"/>
      <c r="AP841" s="30"/>
      <c r="AQ841" s="30"/>
      <c r="AR841" s="30"/>
      <c r="AS841" s="30"/>
      <c r="AT841" s="30"/>
    </row>
    <row r="842" ht="12.75" customHeight="1">
      <c r="A842" s="30"/>
      <c r="B842" s="30"/>
      <c r="C842" s="30"/>
      <c r="D842" s="30"/>
      <c r="E842" s="30"/>
      <c r="F842" s="30"/>
      <c r="G842" s="44"/>
      <c r="H842" s="30"/>
      <c r="I842" s="30"/>
      <c r="J842" s="30"/>
      <c r="K842" s="30"/>
      <c r="L842" s="30"/>
      <c r="M842" s="30"/>
      <c r="N842" s="30"/>
      <c r="O842" s="30"/>
      <c r="P842" s="30"/>
      <c r="Q842" s="30"/>
      <c r="R842" s="30"/>
      <c r="S842" s="30"/>
      <c r="T842" s="30"/>
      <c r="U842" s="30"/>
      <c r="V842" s="30"/>
      <c r="W842" s="30"/>
      <c r="X842" s="30"/>
      <c r="Y842" s="30"/>
      <c r="Z842" s="30"/>
      <c r="AA842" s="30"/>
      <c r="AB842" s="30"/>
      <c r="AC842" s="30"/>
      <c r="AD842" s="30"/>
      <c r="AE842" s="30"/>
      <c r="AF842" s="30"/>
      <c r="AG842" s="30"/>
      <c r="AH842" s="30"/>
      <c r="AI842" s="30"/>
      <c r="AJ842" s="30"/>
      <c r="AK842" s="30"/>
      <c r="AL842" s="30"/>
      <c r="AM842" s="30"/>
      <c r="AN842" s="30"/>
      <c r="AO842" s="30"/>
      <c r="AP842" s="30"/>
      <c r="AQ842" s="30"/>
      <c r="AR842" s="30"/>
      <c r="AS842" s="30"/>
      <c r="AT842" s="30"/>
    </row>
    <row r="843" ht="12.75" customHeight="1">
      <c r="A843" s="30"/>
      <c r="B843" s="30"/>
      <c r="C843" s="30"/>
      <c r="D843" s="30"/>
      <c r="E843" s="30"/>
      <c r="F843" s="30"/>
      <c r="G843" s="44"/>
      <c r="H843" s="30"/>
      <c r="I843" s="30"/>
      <c r="J843" s="30"/>
      <c r="K843" s="30"/>
      <c r="L843" s="30"/>
      <c r="M843" s="30"/>
      <c r="N843" s="30"/>
      <c r="O843" s="30"/>
      <c r="P843" s="30"/>
      <c r="Q843" s="30"/>
      <c r="R843" s="30"/>
      <c r="S843" s="30"/>
      <c r="T843" s="30"/>
      <c r="U843" s="30"/>
      <c r="V843" s="30"/>
      <c r="W843" s="30"/>
      <c r="X843" s="30"/>
      <c r="Y843" s="30"/>
      <c r="Z843" s="30"/>
      <c r="AA843" s="30"/>
      <c r="AB843" s="30"/>
      <c r="AC843" s="30"/>
      <c r="AD843" s="30"/>
      <c r="AE843" s="30"/>
      <c r="AF843" s="30"/>
      <c r="AG843" s="30"/>
      <c r="AH843" s="30"/>
      <c r="AI843" s="30"/>
      <c r="AJ843" s="30"/>
      <c r="AK843" s="30"/>
      <c r="AL843" s="30"/>
      <c r="AM843" s="30"/>
      <c r="AN843" s="30"/>
      <c r="AO843" s="30"/>
      <c r="AP843" s="30"/>
      <c r="AQ843" s="30"/>
      <c r="AR843" s="30"/>
      <c r="AS843" s="30"/>
      <c r="AT843" s="30"/>
    </row>
    <row r="844" ht="12.75" customHeight="1">
      <c r="A844" s="30"/>
      <c r="B844" s="30"/>
      <c r="C844" s="30"/>
      <c r="D844" s="30"/>
      <c r="E844" s="30"/>
      <c r="F844" s="30"/>
      <c r="G844" s="44"/>
      <c r="H844" s="30"/>
      <c r="I844" s="30"/>
      <c r="J844" s="30"/>
      <c r="K844" s="30"/>
      <c r="L844" s="30"/>
      <c r="M844" s="30"/>
      <c r="N844" s="30"/>
      <c r="O844" s="30"/>
      <c r="P844" s="30"/>
      <c r="Q844" s="30"/>
      <c r="R844" s="30"/>
      <c r="S844" s="30"/>
      <c r="T844" s="30"/>
      <c r="U844" s="30"/>
      <c r="V844" s="30"/>
      <c r="W844" s="30"/>
      <c r="X844" s="30"/>
      <c r="Y844" s="30"/>
      <c r="Z844" s="30"/>
      <c r="AA844" s="30"/>
      <c r="AB844" s="30"/>
      <c r="AC844" s="30"/>
      <c r="AD844" s="30"/>
      <c r="AE844" s="30"/>
      <c r="AF844" s="30"/>
      <c r="AG844" s="30"/>
      <c r="AH844" s="30"/>
      <c r="AI844" s="30"/>
      <c r="AJ844" s="30"/>
      <c r="AK844" s="30"/>
      <c r="AL844" s="30"/>
      <c r="AM844" s="30"/>
      <c r="AN844" s="30"/>
      <c r="AO844" s="30"/>
      <c r="AP844" s="30"/>
      <c r="AQ844" s="30"/>
      <c r="AR844" s="30"/>
      <c r="AS844" s="30"/>
      <c r="AT844" s="30"/>
    </row>
    <row r="845" ht="12.75" customHeight="1">
      <c r="A845" s="30"/>
      <c r="B845" s="30"/>
      <c r="C845" s="30"/>
      <c r="D845" s="30"/>
      <c r="E845" s="30"/>
      <c r="F845" s="30"/>
      <c r="G845" s="44"/>
      <c r="H845" s="30"/>
      <c r="I845" s="30"/>
      <c r="J845" s="30"/>
      <c r="K845" s="30"/>
      <c r="L845" s="30"/>
      <c r="M845" s="30"/>
      <c r="N845" s="30"/>
      <c r="O845" s="30"/>
      <c r="P845" s="30"/>
      <c r="Q845" s="30"/>
      <c r="R845" s="30"/>
      <c r="S845" s="30"/>
      <c r="T845" s="30"/>
      <c r="U845" s="30"/>
      <c r="V845" s="30"/>
      <c r="W845" s="30"/>
      <c r="X845" s="30"/>
      <c r="Y845" s="30"/>
      <c r="Z845" s="30"/>
      <c r="AA845" s="30"/>
      <c r="AB845" s="30"/>
      <c r="AC845" s="30"/>
      <c r="AD845" s="30"/>
      <c r="AE845" s="30"/>
      <c r="AF845" s="30"/>
      <c r="AG845" s="30"/>
      <c r="AH845" s="30"/>
      <c r="AI845" s="30"/>
      <c r="AJ845" s="30"/>
      <c r="AK845" s="30"/>
      <c r="AL845" s="30"/>
      <c r="AM845" s="30"/>
      <c r="AN845" s="30"/>
      <c r="AO845" s="30"/>
      <c r="AP845" s="30"/>
      <c r="AQ845" s="30"/>
      <c r="AR845" s="30"/>
      <c r="AS845" s="30"/>
      <c r="AT845" s="30"/>
    </row>
    <row r="846" ht="12.75" customHeight="1">
      <c r="A846" s="30"/>
      <c r="B846" s="30"/>
      <c r="C846" s="30"/>
      <c r="D846" s="30"/>
      <c r="E846" s="30"/>
      <c r="F846" s="30"/>
      <c r="G846" s="44"/>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row>
    <row r="847" ht="12.75" customHeight="1">
      <c r="A847" s="30"/>
      <c r="B847" s="30"/>
      <c r="C847" s="30"/>
      <c r="D847" s="30"/>
      <c r="E847" s="30"/>
      <c r="F847" s="30"/>
      <c r="G847" s="44"/>
      <c r="H847" s="30"/>
      <c r="I847" s="30"/>
      <c r="J847" s="30"/>
      <c r="K847" s="30"/>
      <c r="L847" s="30"/>
      <c r="M847" s="30"/>
      <c r="N847" s="30"/>
      <c r="O847" s="30"/>
      <c r="P847" s="30"/>
      <c r="Q847" s="30"/>
      <c r="R847" s="30"/>
      <c r="S847" s="30"/>
      <c r="T847" s="30"/>
      <c r="U847" s="30"/>
      <c r="V847" s="30"/>
      <c r="W847" s="30"/>
      <c r="X847" s="30"/>
      <c r="Y847" s="30"/>
      <c r="Z847" s="30"/>
      <c r="AA847" s="30"/>
      <c r="AB847" s="30"/>
      <c r="AC847" s="30"/>
      <c r="AD847" s="30"/>
      <c r="AE847" s="30"/>
      <c r="AF847" s="30"/>
      <c r="AG847" s="30"/>
      <c r="AH847" s="30"/>
      <c r="AI847" s="30"/>
      <c r="AJ847" s="30"/>
      <c r="AK847" s="30"/>
      <c r="AL847" s="30"/>
      <c r="AM847" s="30"/>
      <c r="AN847" s="30"/>
      <c r="AO847" s="30"/>
      <c r="AP847" s="30"/>
      <c r="AQ847" s="30"/>
      <c r="AR847" s="30"/>
      <c r="AS847" s="30"/>
      <c r="AT847" s="30"/>
    </row>
    <row r="848" ht="12.75" customHeight="1">
      <c r="A848" s="30"/>
      <c r="B848" s="30"/>
      <c r="C848" s="30"/>
      <c r="D848" s="30"/>
      <c r="E848" s="30"/>
      <c r="F848" s="30"/>
      <c r="G848" s="44"/>
      <c r="H848" s="30"/>
      <c r="I848" s="30"/>
      <c r="J848" s="30"/>
      <c r="K848" s="30"/>
      <c r="L848" s="30"/>
      <c r="M848" s="30"/>
      <c r="N848" s="30"/>
      <c r="O848" s="30"/>
      <c r="P848" s="30"/>
      <c r="Q848" s="30"/>
      <c r="R848" s="30"/>
      <c r="S848" s="30"/>
      <c r="T848" s="30"/>
      <c r="U848" s="30"/>
      <c r="V848" s="30"/>
      <c r="W848" s="30"/>
      <c r="X848" s="30"/>
      <c r="Y848" s="30"/>
      <c r="Z848" s="30"/>
      <c r="AA848" s="30"/>
      <c r="AB848" s="30"/>
      <c r="AC848" s="30"/>
      <c r="AD848" s="30"/>
      <c r="AE848" s="30"/>
      <c r="AF848" s="30"/>
      <c r="AG848" s="30"/>
      <c r="AH848" s="30"/>
      <c r="AI848" s="30"/>
      <c r="AJ848" s="30"/>
      <c r="AK848" s="30"/>
      <c r="AL848" s="30"/>
      <c r="AM848" s="30"/>
      <c r="AN848" s="30"/>
      <c r="AO848" s="30"/>
      <c r="AP848" s="30"/>
      <c r="AQ848" s="30"/>
      <c r="AR848" s="30"/>
      <c r="AS848" s="30"/>
      <c r="AT848" s="30"/>
    </row>
    <row r="849" ht="12.75" customHeight="1">
      <c r="A849" s="30"/>
      <c r="B849" s="30"/>
      <c r="C849" s="30"/>
      <c r="D849" s="30"/>
      <c r="E849" s="30"/>
      <c r="F849" s="30"/>
      <c r="G849" s="44"/>
      <c r="H849" s="30"/>
      <c r="I849" s="30"/>
      <c r="J849" s="30"/>
      <c r="K849" s="30"/>
      <c r="L849" s="30"/>
      <c r="M849" s="30"/>
      <c r="N849" s="30"/>
      <c r="O849" s="30"/>
      <c r="P849" s="30"/>
      <c r="Q849" s="30"/>
      <c r="R849" s="30"/>
      <c r="S849" s="30"/>
      <c r="T849" s="30"/>
      <c r="U849" s="30"/>
      <c r="V849" s="30"/>
      <c r="W849" s="30"/>
      <c r="X849" s="30"/>
      <c r="Y849" s="30"/>
      <c r="Z849" s="30"/>
      <c r="AA849" s="30"/>
      <c r="AB849" s="30"/>
      <c r="AC849" s="30"/>
      <c r="AD849" s="30"/>
      <c r="AE849" s="30"/>
      <c r="AF849" s="30"/>
      <c r="AG849" s="30"/>
      <c r="AH849" s="30"/>
      <c r="AI849" s="30"/>
      <c r="AJ849" s="30"/>
      <c r="AK849" s="30"/>
      <c r="AL849" s="30"/>
      <c r="AM849" s="30"/>
      <c r="AN849" s="30"/>
      <c r="AO849" s="30"/>
      <c r="AP849" s="30"/>
      <c r="AQ849" s="30"/>
      <c r="AR849" s="30"/>
      <c r="AS849" s="30"/>
      <c r="AT849" s="30"/>
    </row>
    <row r="850" ht="12.75" customHeight="1">
      <c r="A850" s="30"/>
      <c r="B850" s="30"/>
      <c r="C850" s="30"/>
      <c r="D850" s="30"/>
      <c r="E850" s="30"/>
      <c r="F850" s="30"/>
      <c r="G850" s="44"/>
      <c r="H850" s="30"/>
      <c r="I850" s="30"/>
      <c r="J850" s="30"/>
      <c r="K850" s="30"/>
      <c r="L850" s="30"/>
      <c r="M850" s="30"/>
      <c r="N850" s="30"/>
      <c r="O850" s="30"/>
      <c r="P850" s="30"/>
      <c r="Q850" s="30"/>
      <c r="R850" s="30"/>
      <c r="S850" s="30"/>
      <c r="T850" s="30"/>
      <c r="U850" s="30"/>
      <c r="V850" s="30"/>
      <c r="W850" s="30"/>
      <c r="X850" s="30"/>
      <c r="Y850" s="30"/>
      <c r="Z850" s="30"/>
      <c r="AA850" s="30"/>
      <c r="AB850" s="30"/>
      <c r="AC850" s="30"/>
      <c r="AD850" s="30"/>
      <c r="AE850" s="30"/>
      <c r="AF850" s="30"/>
      <c r="AG850" s="30"/>
      <c r="AH850" s="30"/>
      <c r="AI850" s="30"/>
      <c r="AJ850" s="30"/>
      <c r="AK850" s="30"/>
      <c r="AL850" s="30"/>
      <c r="AM850" s="30"/>
      <c r="AN850" s="30"/>
      <c r="AO850" s="30"/>
      <c r="AP850" s="30"/>
      <c r="AQ850" s="30"/>
      <c r="AR850" s="30"/>
      <c r="AS850" s="30"/>
      <c r="AT850" s="30"/>
    </row>
    <row r="851" ht="12.75" customHeight="1">
      <c r="A851" s="30"/>
      <c r="B851" s="30"/>
      <c r="C851" s="30"/>
      <c r="D851" s="30"/>
      <c r="E851" s="30"/>
      <c r="F851" s="30"/>
      <c r="G851" s="44"/>
      <c r="H851" s="30"/>
      <c r="I851" s="30"/>
      <c r="J851" s="30"/>
      <c r="K851" s="30"/>
      <c r="L851" s="30"/>
      <c r="M851" s="30"/>
      <c r="N851" s="30"/>
      <c r="O851" s="30"/>
      <c r="P851" s="30"/>
      <c r="Q851" s="30"/>
      <c r="R851" s="30"/>
      <c r="S851" s="30"/>
      <c r="T851" s="30"/>
      <c r="U851" s="30"/>
      <c r="V851" s="30"/>
      <c r="W851" s="30"/>
      <c r="X851" s="30"/>
      <c r="Y851" s="30"/>
      <c r="Z851" s="30"/>
      <c r="AA851" s="30"/>
      <c r="AB851" s="30"/>
      <c r="AC851" s="30"/>
      <c r="AD851" s="30"/>
      <c r="AE851" s="30"/>
      <c r="AF851" s="30"/>
      <c r="AG851" s="30"/>
      <c r="AH851" s="30"/>
      <c r="AI851" s="30"/>
      <c r="AJ851" s="30"/>
      <c r="AK851" s="30"/>
      <c r="AL851" s="30"/>
      <c r="AM851" s="30"/>
      <c r="AN851" s="30"/>
      <c r="AO851" s="30"/>
      <c r="AP851" s="30"/>
      <c r="AQ851" s="30"/>
      <c r="AR851" s="30"/>
      <c r="AS851" s="30"/>
      <c r="AT851" s="30"/>
    </row>
    <row r="852" ht="12.75" customHeight="1">
      <c r="A852" s="30"/>
      <c r="B852" s="30"/>
      <c r="C852" s="30"/>
      <c r="D852" s="30"/>
      <c r="E852" s="30"/>
      <c r="F852" s="30"/>
      <c r="G852" s="44"/>
      <c r="H852" s="30"/>
      <c r="I852" s="30"/>
      <c r="J852" s="30"/>
      <c r="K852" s="30"/>
      <c r="L852" s="30"/>
      <c r="M852" s="30"/>
      <c r="N852" s="30"/>
      <c r="O852" s="30"/>
      <c r="P852" s="30"/>
      <c r="Q852" s="30"/>
      <c r="R852" s="30"/>
      <c r="S852" s="30"/>
      <c r="T852" s="30"/>
      <c r="U852" s="30"/>
      <c r="V852" s="30"/>
      <c r="W852" s="30"/>
      <c r="X852" s="30"/>
      <c r="Y852" s="30"/>
      <c r="Z852" s="30"/>
      <c r="AA852" s="30"/>
      <c r="AB852" s="30"/>
      <c r="AC852" s="30"/>
      <c r="AD852" s="30"/>
      <c r="AE852" s="30"/>
      <c r="AF852" s="30"/>
      <c r="AG852" s="30"/>
      <c r="AH852" s="30"/>
      <c r="AI852" s="30"/>
      <c r="AJ852" s="30"/>
      <c r="AK852" s="30"/>
      <c r="AL852" s="30"/>
      <c r="AM852" s="30"/>
      <c r="AN852" s="30"/>
      <c r="AO852" s="30"/>
      <c r="AP852" s="30"/>
      <c r="AQ852" s="30"/>
      <c r="AR852" s="30"/>
      <c r="AS852" s="30"/>
      <c r="AT852" s="30"/>
    </row>
    <row r="853" ht="12.75" customHeight="1">
      <c r="A853" s="30"/>
      <c r="B853" s="30"/>
      <c r="C853" s="30"/>
      <c r="D853" s="30"/>
      <c r="E853" s="30"/>
      <c r="F853" s="30"/>
      <c r="G853" s="44"/>
      <c r="H853" s="30"/>
      <c r="I853" s="30"/>
      <c r="J853" s="30"/>
      <c r="K853" s="30"/>
      <c r="L853" s="30"/>
      <c r="M853" s="30"/>
      <c r="N853" s="30"/>
      <c r="O853" s="30"/>
      <c r="P853" s="30"/>
      <c r="Q853" s="30"/>
      <c r="R853" s="30"/>
      <c r="S853" s="30"/>
      <c r="T853" s="30"/>
      <c r="U853" s="30"/>
      <c r="V853" s="30"/>
      <c r="W853" s="30"/>
      <c r="X853" s="30"/>
      <c r="Y853" s="30"/>
      <c r="Z853" s="30"/>
      <c r="AA853" s="30"/>
      <c r="AB853" s="30"/>
      <c r="AC853" s="30"/>
      <c r="AD853" s="30"/>
      <c r="AE853" s="30"/>
      <c r="AF853" s="30"/>
      <c r="AG853" s="30"/>
      <c r="AH853" s="30"/>
      <c r="AI853" s="30"/>
      <c r="AJ853" s="30"/>
      <c r="AK853" s="30"/>
      <c r="AL853" s="30"/>
      <c r="AM853" s="30"/>
      <c r="AN853" s="30"/>
      <c r="AO853" s="30"/>
      <c r="AP853" s="30"/>
      <c r="AQ853" s="30"/>
      <c r="AR853" s="30"/>
      <c r="AS853" s="30"/>
      <c r="AT853" s="30"/>
    </row>
    <row r="854" ht="12.75" customHeight="1">
      <c r="A854" s="30"/>
      <c r="B854" s="30"/>
      <c r="C854" s="30"/>
      <c r="D854" s="30"/>
      <c r="E854" s="30"/>
      <c r="F854" s="30"/>
      <c r="G854" s="44"/>
      <c r="H854" s="30"/>
      <c r="I854" s="30"/>
      <c r="J854" s="30"/>
      <c r="K854" s="30"/>
      <c r="L854" s="30"/>
      <c r="M854" s="30"/>
      <c r="N854" s="30"/>
      <c r="O854" s="30"/>
      <c r="P854" s="30"/>
      <c r="Q854" s="30"/>
      <c r="R854" s="30"/>
      <c r="S854" s="30"/>
      <c r="T854" s="30"/>
      <c r="U854" s="30"/>
      <c r="V854" s="30"/>
      <c r="W854" s="30"/>
      <c r="X854" s="30"/>
      <c r="Y854" s="30"/>
      <c r="Z854" s="30"/>
      <c r="AA854" s="30"/>
      <c r="AB854" s="30"/>
      <c r="AC854" s="30"/>
      <c r="AD854" s="30"/>
      <c r="AE854" s="30"/>
      <c r="AF854" s="30"/>
      <c r="AG854" s="30"/>
      <c r="AH854" s="30"/>
      <c r="AI854" s="30"/>
      <c r="AJ854" s="30"/>
      <c r="AK854" s="30"/>
      <c r="AL854" s="30"/>
      <c r="AM854" s="30"/>
      <c r="AN854" s="30"/>
      <c r="AO854" s="30"/>
      <c r="AP854" s="30"/>
      <c r="AQ854" s="30"/>
      <c r="AR854" s="30"/>
      <c r="AS854" s="30"/>
      <c r="AT854" s="30"/>
    </row>
    <row r="855" ht="12.75" customHeight="1">
      <c r="A855" s="30"/>
      <c r="B855" s="30"/>
      <c r="C855" s="30"/>
      <c r="D855" s="30"/>
      <c r="E855" s="30"/>
      <c r="F855" s="30"/>
      <c r="G855" s="44"/>
      <c r="H855" s="30"/>
      <c r="I855" s="30"/>
      <c r="J855" s="30"/>
      <c r="K855" s="30"/>
      <c r="L855" s="30"/>
      <c r="M855" s="30"/>
      <c r="N855" s="30"/>
      <c r="O855" s="30"/>
      <c r="P855" s="30"/>
      <c r="Q855" s="30"/>
      <c r="R855" s="30"/>
      <c r="S855" s="30"/>
      <c r="T855" s="30"/>
      <c r="U855" s="30"/>
      <c r="V855" s="30"/>
      <c r="W855" s="30"/>
      <c r="X855" s="30"/>
      <c r="Y855" s="30"/>
      <c r="Z855" s="30"/>
      <c r="AA855" s="30"/>
      <c r="AB855" s="30"/>
      <c r="AC855" s="30"/>
      <c r="AD855" s="30"/>
      <c r="AE855" s="30"/>
      <c r="AF855" s="30"/>
      <c r="AG855" s="30"/>
      <c r="AH855" s="30"/>
      <c r="AI855" s="30"/>
      <c r="AJ855" s="30"/>
      <c r="AK855" s="30"/>
      <c r="AL855" s="30"/>
      <c r="AM855" s="30"/>
      <c r="AN855" s="30"/>
      <c r="AO855" s="30"/>
      <c r="AP855" s="30"/>
      <c r="AQ855" s="30"/>
      <c r="AR855" s="30"/>
      <c r="AS855" s="30"/>
      <c r="AT855" s="30"/>
    </row>
    <row r="856" ht="12.75" customHeight="1">
      <c r="A856" s="30"/>
      <c r="B856" s="30"/>
      <c r="C856" s="30"/>
      <c r="D856" s="30"/>
      <c r="E856" s="30"/>
      <c r="F856" s="30"/>
      <c r="G856" s="44"/>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row>
    <row r="857" ht="12.75" customHeight="1">
      <c r="A857" s="30"/>
      <c r="B857" s="30"/>
      <c r="C857" s="30"/>
      <c r="D857" s="30"/>
      <c r="E857" s="30"/>
      <c r="F857" s="30"/>
      <c r="G857" s="44"/>
      <c r="H857" s="30"/>
      <c r="I857" s="30"/>
      <c r="J857" s="30"/>
      <c r="K857" s="30"/>
      <c r="L857" s="30"/>
      <c r="M857" s="30"/>
      <c r="N857" s="30"/>
      <c r="O857" s="30"/>
      <c r="P857" s="30"/>
      <c r="Q857" s="30"/>
      <c r="R857" s="30"/>
      <c r="S857" s="30"/>
      <c r="T857" s="30"/>
      <c r="U857" s="30"/>
      <c r="V857" s="30"/>
      <c r="W857" s="30"/>
      <c r="X857" s="30"/>
      <c r="Y857" s="30"/>
      <c r="Z857" s="30"/>
      <c r="AA857" s="30"/>
      <c r="AB857" s="30"/>
      <c r="AC857" s="30"/>
      <c r="AD857" s="30"/>
      <c r="AE857" s="30"/>
      <c r="AF857" s="30"/>
      <c r="AG857" s="30"/>
      <c r="AH857" s="30"/>
      <c r="AI857" s="30"/>
      <c r="AJ857" s="30"/>
      <c r="AK857" s="30"/>
      <c r="AL857" s="30"/>
      <c r="AM857" s="30"/>
      <c r="AN857" s="30"/>
      <c r="AO857" s="30"/>
      <c r="AP857" s="30"/>
      <c r="AQ857" s="30"/>
      <c r="AR857" s="30"/>
      <c r="AS857" s="30"/>
      <c r="AT857" s="30"/>
    </row>
    <row r="858" ht="12.75" customHeight="1">
      <c r="A858" s="30"/>
      <c r="B858" s="30"/>
      <c r="C858" s="30"/>
      <c r="D858" s="30"/>
      <c r="E858" s="30"/>
      <c r="F858" s="30"/>
      <c r="G858" s="44"/>
      <c r="H858" s="30"/>
      <c r="I858" s="30"/>
      <c r="J858" s="30"/>
      <c r="K858" s="30"/>
      <c r="L858" s="30"/>
      <c r="M858" s="30"/>
      <c r="N858" s="30"/>
      <c r="O858" s="30"/>
      <c r="P858" s="30"/>
      <c r="Q858" s="30"/>
      <c r="R858" s="30"/>
      <c r="S858" s="30"/>
      <c r="T858" s="30"/>
      <c r="U858" s="30"/>
      <c r="V858" s="30"/>
      <c r="W858" s="30"/>
      <c r="X858" s="30"/>
      <c r="Y858" s="30"/>
      <c r="Z858" s="30"/>
      <c r="AA858" s="30"/>
      <c r="AB858" s="30"/>
      <c r="AC858" s="30"/>
      <c r="AD858" s="30"/>
      <c r="AE858" s="30"/>
      <c r="AF858" s="30"/>
      <c r="AG858" s="30"/>
      <c r="AH858" s="30"/>
      <c r="AI858" s="30"/>
      <c r="AJ858" s="30"/>
      <c r="AK858" s="30"/>
      <c r="AL858" s="30"/>
      <c r="AM858" s="30"/>
      <c r="AN858" s="30"/>
      <c r="AO858" s="30"/>
      <c r="AP858" s="30"/>
      <c r="AQ858" s="30"/>
      <c r="AR858" s="30"/>
      <c r="AS858" s="30"/>
      <c r="AT858" s="30"/>
    </row>
    <row r="859" ht="12.75" customHeight="1">
      <c r="A859" s="30"/>
      <c r="B859" s="30"/>
      <c r="C859" s="30"/>
      <c r="D859" s="30"/>
      <c r="E859" s="30"/>
      <c r="F859" s="30"/>
      <c r="G859" s="44"/>
      <c r="H859" s="30"/>
      <c r="I859" s="30"/>
      <c r="J859" s="30"/>
      <c r="K859" s="30"/>
      <c r="L859" s="30"/>
      <c r="M859" s="30"/>
      <c r="N859" s="30"/>
      <c r="O859" s="30"/>
      <c r="P859" s="30"/>
      <c r="Q859" s="30"/>
      <c r="R859" s="30"/>
      <c r="S859" s="30"/>
      <c r="T859" s="30"/>
      <c r="U859" s="30"/>
      <c r="V859" s="30"/>
      <c r="W859" s="30"/>
      <c r="X859" s="30"/>
      <c r="Y859" s="30"/>
      <c r="Z859" s="30"/>
      <c r="AA859" s="30"/>
      <c r="AB859" s="30"/>
      <c r="AC859" s="30"/>
      <c r="AD859" s="30"/>
      <c r="AE859" s="30"/>
      <c r="AF859" s="30"/>
      <c r="AG859" s="30"/>
      <c r="AH859" s="30"/>
      <c r="AI859" s="30"/>
      <c r="AJ859" s="30"/>
      <c r="AK859" s="30"/>
      <c r="AL859" s="30"/>
      <c r="AM859" s="30"/>
      <c r="AN859" s="30"/>
      <c r="AO859" s="30"/>
      <c r="AP859" s="30"/>
      <c r="AQ859" s="30"/>
      <c r="AR859" s="30"/>
      <c r="AS859" s="30"/>
      <c r="AT859" s="30"/>
    </row>
    <row r="860" ht="12.75" customHeight="1">
      <c r="A860" s="30"/>
      <c r="B860" s="30"/>
      <c r="C860" s="30"/>
      <c r="D860" s="30"/>
      <c r="E860" s="30"/>
      <c r="F860" s="30"/>
      <c r="G860" s="44"/>
      <c r="H860" s="30"/>
      <c r="I860" s="30"/>
      <c r="J860" s="30"/>
      <c r="K860" s="30"/>
      <c r="L860" s="30"/>
      <c r="M860" s="30"/>
      <c r="N860" s="30"/>
      <c r="O860" s="30"/>
      <c r="P860" s="30"/>
      <c r="Q860" s="30"/>
      <c r="R860" s="30"/>
      <c r="S860" s="30"/>
      <c r="T860" s="30"/>
      <c r="U860" s="30"/>
      <c r="V860" s="30"/>
      <c r="W860" s="30"/>
      <c r="X860" s="30"/>
      <c r="Y860" s="30"/>
      <c r="Z860" s="30"/>
      <c r="AA860" s="30"/>
      <c r="AB860" s="30"/>
      <c r="AC860" s="30"/>
      <c r="AD860" s="30"/>
      <c r="AE860" s="30"/>
      <c r="AF860" s="30"/>
      <c r="AG860" s="30"/>
      <c r="AH860" s="30"/>
      <c r="AI860" s="30"/>
      <c r="AJ860" s="30"/>
      <c r="AK860" s="30"/>
      <c r="AL860" s="30"/>
      <c r="AM860" s="30"/>
      <c r="AN860" s="30"/>
      <c r="AO860" s="30"/>
      <c r="AP860" s="30"/>
      <c r="AQ860" s="30"/>
      <c r="AR860" s="30"/>
      <c r="AS860" s="30"/>
      <c r="AT860" s="30"/>
    </row>
    <row r="861" ht="12.75" customHeight="1">
      <c r="A861" s="30"/>
      <c r="B861" s="30"/>
      <c r="C861" s="30"/>
      <c r="D861" s="30"/>
      <c r="E861" s="30"/>
      <c r="F861" s="30"/>
      <c r="G861" s="44"/>
      <c r="H861" s="30"/>
      <c r="I861" s="30"/>
      <c r="J861" s="30"/>
      <c r="K861" s="30"/>
      <c r="L861" s="30"/>
      <c r="M861" s="30"/>
      <c r="N861" s="30"/>
      <c r="O861" s="30"/>
      <c r="P861" s="30"/>
      <c r="Q861" s="30"/>
      <c r="R861" s="30"/>
      <c r="S861" s="30"/>
      <c r="T861" s="30"/>
      <c r="U861" s="30"/>
      <c r="V861" s="30"/>
      <c r="W861" s="30"/>
      <c r="X861" s="30"/>
      <c r="Y861" s="30"/>
      <c r="Z861" s="30"/>
      <c r="AA861" s="30"/>
      <c r="AB861" s="30"/>
      <c r="AC861" s="30"/>
      <c r="AD861" s="30"/>
      <c r="AE861" s="30"/>
      <c r="AF861" s="30"/>
      <c r="AG861" s="30"/>
      <c r="AH861" s="30"/>
      <c r="AI861" s="30"/>
      <c r="AJ861" s="30"/>
      <c r="AK861" s="30"/>
      <c r="AL861" s="30"/>
      <c r="AM861" s="30"/>
      <c r="AN861" s="30"/>
      <c r="AO861" s="30"/>
      <c r="AP861" s="30"/>
      <c r="AQ861" s="30"/>
      <c r="AR861" s="30"/>
      <c r="AS861" s="30"/>
      <c r="AT861" s="30"/>
    </row>
    <row r="862" ht="12.75" customHeight="1">
      <c r="A862" s="30"/>
      <c r="B862" s="30"/>
      <c r="C862" s="30"/>
      <c r="D862" s="30"/>
      <c r="E862" s="30"/>
      <c r="F862" s="30"/>
      <c r="G862" s="44"/>
      <c r="H862" s="30"/>
      <c r="I862" s="30"/>
      <c r="J862" s="30"/>
      <c r="K862" s="30"/>
      <c r="L862" s="30"/>
      <c r="M862" s="30"/>
      <c r="N862" s="30"/>
      <c r="O862" s="30"/>
      <c r="P862" s="30"/>
      <c r="Q862" s="30"/>
      <c r="R862" s="30"/>
      <c r="S862" s="30"/>
      <c r="T862" s="30"/>
      <c r="U862" s="30"/>
      <c r="V862" s="30"/>
      <c r="W862" s="30"/>
      <c r="X862" s="30"/>
      <c r="Y862" s="30"/>
      <c r="Z862" s="30"/>
      <c r="AA862" s="30"/>
      <c r="AB862" s="30"/>
      <c r="AC862" s="30"/>
      <c r="AD862" s="30"/>
      <c r="AE862" s="30"/>
      <c r="AF862" s="30"/>
      <c r="AG862" s="30"/>
      <c r="AH862" s="30"/>
      <c r="AI862" s="30"/>
      <c r="AJ862" s="30"/>
      <c r="AK862" s="30"/>
      <c r="AL862" s="30"/>
      <c r="AM862" s="30"/>
      <c r="AN862" s="30"/>
      <c r="AO862" s="30"/>
      <c r="AP862" s="30"/>
      <c r="AQ862" s="30"/>
      <c r="AR862" s="30"/>
      <c r="AS862" s="30"/>
      <c r="AT862" s="30"/>
    </row>
    <row r="863" ht="12.75" customHeight="1">
      <c r="A863" s="30"/>
      <c r="B863" s="30"/>
      <c r="C863" s="30"/>
      <c r="D863" s="30"/>
      <c r="E863" s="30"/>
      <c r="F863" s="30"/>
      <c r="G863" s="44"/>
      <c r="H863" s="30"/>
      <c r="I863" s="30"/>
      <c r="J863" s="30"/>
      <c r="K863" s="30"/>
      <c r="L863" s="30"/>
      <c r="M863" s="30"/>
      <c r="N863" s="30"/>
      <c r="O863" s="30"/>
      <c r="P863" s="30"/>
      <c r="Q863" s="30"/>
      <c r="R863" s="30"/>
      <c r="S863" s="30"/>
      <c r="T863" s="30"/>
      <c r="U863" s="30"/>
      <c r="V863" s="30"/>
      <c r="W863" s="30"/>
      <c r="X863" s="30"/>
      <c r="Y863" s="30"/>
      <c r="Z863" s="30"/>
      <c r="AA863" s="30"/>
      <c r="AB863" s="30"/>
      <c r="AC863" s="30"/>
      <c r="AD863" s="30"/>
      <c r="AE863" s="30"/>
      <c r="AF863" s="30"/>
      <c r="AG863" s="30"/>
      <c r="AH863" s="30"/>
      <c r="AI863" s="30"/>
      <c r="AJ863" s="30"/>
      <c r="AK863" s="30"/>
      <c r="AL863" s="30"/>
      <c r="AM863" s="30"/>
      <c r="AN863" s="30"/>
      <c r="AO863" s="30"/>
      <c r="AP863" s="30"/>
      <c r="AQ863" s="30"/>
      <c r="AR863" s="30"/>
      <c r="AS863" s="30"/>
      <c r="AT863" s="30"/>
    </row>
    <row r="864" ht="12.75" customHeight="1">
      <c r="A864" s="30"/>
      <c r="B864" s="30"/>
      <c r="C864" s="30"/>
      <c r="D864" s="30"/>
      <c r="E864" s="30"/>
      <c r="F864" s="30"/>
      <c r="G864" s="44"/>
      <c r="H864" s="30"/>
      <c r="I864" s="30"/>
      <c r="J864" s="30"/>
      <c r="K864" s="30"/>
      <c r="L864" s="30"/>
      <c r="M864" s="30"/>
      <c r="N864" s="30"/>
      <c r="O864" s="30"/>
      <c r="P864" s="30"/>
      <c r="Q864" s="30"/>
      <c r="R864" s="30"/>
      <c r="S864" s="30"/>
      <c r="T864" s="30"/>
      <c r="U864" s="30"/>
      <c r="V864" s="30"/>
      <c r="W864" s="30"/>
      <c r="X864" s="30"/>
      <c r="Y864" s="30"/>
      <c r="Z864" s="30"/>
      <c r="AA864" s="30"/>
      <c r="AB864" s="30"/>
      <c r="AC864" s="30"/>
      <c r="AD864" s="30"/>
      <c r="AE864" s="30"/>
      <c r="AF864" s="30"/>
      <c r="AG864" s="30"/>
      <c r="AH864" s="30"/>
      <c r="AI864" s="30"/>
      <c r="AJ864" s="30"/>
      <c r="AK864" s="30"/>
      <c r="AL864" s="30"/>
      <c r="AM864" s="30"/>
      <c r="AN864" s="30"/>
      <c r="AO864" s="30"/>
      <c r="AP864" s="30"/>
      <c r="AQ864" s="30"/>
      <c r="AR864" s="30"/>
      <c r="AS864" s="30"/>
      <c r="AT864" s="30"/>
    </row>
    <row r="865" ht="12.75" customHeight="1">
      <c r="A865" s="30"/>
      <c r="B865" s="30"/>
      <c r="C865" s="30"/>
      <c r="D865" s="30"/>
      <c r="E865" s="30"/>
      <c r="F865" s="30"/>
      <c r="G865" s="44"/>
      <c r="H865" s="30"/>
      <c r="I865" s="30"/>
      <c r="J865" s="30"/>
      <c r="K865" s="30"/>
      <c r="L865" s="30"/>
      <c r="M865" s="30"/>
      <c r="N865" s="30"/>
      <c r="O865" s="30"/>
      <c r="P865" s="30"/>
      <c r="Q865" s="30"/>
      <c r="R865" s="30"/>
      <c r="S865" s="30"/>
      <c r="T865" s="30"/>
      <c r="U865" s="30"/>
      <c r="V865" s="30"/>
      <c r="W865" s="30"/>
      <c r="X865" s="30"/>
      <c r="Y865" s="30"/>
      <c r="Z865" s="30"/>
      <c r="AA865" s="30"/>
      <c r="AB865" s="30"/>
      <c r="AC865" s="30"/>
      <c r="AD865" s="30"/>
      <c r="AE865" s="30"/>
      <c r="AF865" s="30"/>
      <c r="AG865" s="30"/>
      <c r="AH865" s="30"/>
      <c r="AI865" s="30"/>
      <c r="AJ865" s="30"/>
      <c r="AK865" s="30"/>
      <c r="AL865" s="30"/>
      <c r="AM865" s="30"/>
      <c r="AN865" s="30"/>
      <c r="AO865" s="30"/>
      <c r="AP865" s="30"/>
      <c r="AQ865" s="30"/>
      <c r="AR865" s="30"/>
      <c r="AS865" s="30"/>
      <c r="AT865" s="30"/>
    </row>
    <row r="866" ht="12.75" customHeight="1">
      <c r="A866" s="30"/>
      <c r="B866" s="30"/>
      <c r="C866" s="30"/>
      <c r="D866" s="30"/>
      <c r="E866" s="30"/>
      <c r="F866" s="30"/>
      <c r="G866" s="44"/>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row>
    <row r="867" ht="12.75" customHeight="1">
      <c r="A867" s="30"/>
      <c r="B867" s="30"/>
      <c r="C867" s="30"/>
      <c r="D867" s="30"/>
      <c r="E867" s="30"/>
      <c r="F867" s="30"/>
      <c r="G867" s="44"/>
      <c r="H867" s="30"/>
      <c r="I867" s="30"/>
      <c r="J867" s="30"/>
      <c r="K867" s="30"/>
      <c r="L867" s="30"/>
      <c r="M867" s="30"/>
      <c r="N867" s="30"/>
      <c r="O867" s="30"/>
      <c r="P867" s="30"/>
      <c r="Q867" s="30"/>
      <c r="R867" s="30"/>
      <c r="S867" s="30"/>
      <c r="T867" s="30"/>
      <c r="U867" s="30"/>
      <c r="V867" s="30"/>
      <c r="W867" s="30"/>
      <c r="X867" s="30"/>
      <c r="Y867" s="30"/>
      <c r="Z867" s="30"/>
      <c r="AA867" s="30"/>
      <c r="AB867" s="30"/>
      <c r="AC867" s="30"/>
      <c r="AD867" s="30"/>
      <c r="AE867" s="30"/>
      <c r="AF867" s="30"/>
      <c r="AG867" s="30"/>
      <c r="AH867" s="30"/>
      <c r="AI867" s="30"/>
      <c r="AJ867" s="30"/>
      <c r="AK867" s="30"/>
      <c r="AL867" s="30"/>
      <c r="AM867" s="30"/>
      <c r="AN867" s="30"/>
      <c r="AO867" s="30"/>
      <c r="AP867" s="30"/>
      <c r="AQ867" s="30"/>
      <c r="AR867" s="30"/>
      <c r="AS867" s="30"/>
      <c r="AT867" s="30"/>
    </row>
    <row r="868" ht="12.75" customHeight="1">
      <c r="A868" s="30"/>
      <c r="B868" s="30"/>
      <c r="C868" s="30"/>
      <c r="D868" s="30"/>
      <c r="E868" s="30"/>
      <c r="F868" s="30"/>
      <c r="G868" s="44"/>
      <c r="H868" s="30"/>
      <c r="I868" s="30"/>
      <c r="J868" s="30"/>
      <c r="K868" s="30"/>
      <c r="L868" s="30"/>
      <c r="M868" s="30"/>
      <c r="N868" s="30"/>
      <c r="O868" s="30"/>
      <c r="P868" s="30"/>
      <c r="Q868" s="30"/>
      <c r="R868" s="30"/>
      <c r="S868" s="30"/>
      <c r="T868" s="30"/>
      <c r="U868" s="30"/>
      <c r="V868" s="30"/>
      <c r="W868" s="30"/>
      <c r="X868" s="30"/>
      <c r="Y868" s="30"/>
      <c r="Z868" s="30"/>
      <c r="AA868" s="30"/>
      <c r="AB868" s="30"/>
      <c r="AC868" s="30"/>
      <c r="AD868" s="30"/>
      <c r="AE868" s="30"/>
      <c r="AF868" s="30"/>
      <c r="AG868" s="30"/>
      <c r="AH868" s="30"/>
      <c r="AI868" s="30"/>
      <c r="AJ868" s="30"/>
      <c r="AK868" s="30"/>
      <c r="AL868" s="30"/>
      <c r="AM868" s="30"/>
      <c r="AN868" s="30"/>
      <c r="AO868" s="30"/>
      <c r="AP868" s="30"/>
      <c r="AQ868" s="30"/>
      <c r="AR868" s="30"/>
      <c r="AS868" s="30"/>
      <c r="AT868" s="30"/>
    </row>
    <row r="869" ht="12.75" customHeight="1">
      <c r="A869" s="30"/>
      <c r="B869" s="30"/>
      <c r="C869" s="30"/>
      <c r="D869" s="30"/>
      <c r="E869" s="30"/>
      <c r="F869" s="30"/>
      <c r="G869" s="44"/>
      <c r="H869" s="30"/>
      <c r="I869" s="30"/>
      <c r="J869" s="30"/>
      <c r="K869" s="30"/>
      <c r="L869" s="30"/>
      <c r="M869" s="30"/>
      <c r="N869" s="30"/>
      <c r="O869" s="30"/>
      <c r="P869" s="30"/>
      <c r="Q869" s="30"/>
      <c r="R869" s="30"/>
      <c r="S869" s="30"/>
      <c r="T869" s="30"/>
      <c r="U869" s="30"/>
      <c r="V869" s="30"/>
      <c r="W869" s="30"/>
      <c r="X869" s="30"/>
      <c r="Y869" s="30"/>
      <c r="Z869" s="30"/>
      <c r="AA869" s="30"/>
      <c r="AB869" s="30"/>
      <c r="AC869" s="30"/>
      <c r="AD869" s="30"/>
      <c r="AE869" s="30"/>
      <c r="AF869" s="30"/>
      <c r="AG869" s="30"/>
      <c r="AH869" s="30"/>
      <c r="AI869" s="30"/>
      <c r="AJ869" s="30"/>
      <c r="AK869" s="30"/>
      <c r="AL869" s="30"/>
      <c r="AM869" s="30"/>
      <c r="AN869" s="30"/>
      <c r="AO869" s="30"/>
      <c r="AP869" s="30"/>
      <c r="AQ869" s="30"/>
      <c r="AR869" s="30"/>
      <c r="AS869" s="30"/>
      <c r="AT869" s="30"/>
    </row>
    <row r="870" ht="12.75" customHeight="1">
      <c r="A870" s="30"/>
      <c r="B870" s="30"/>
      <c r="C870" s="30"/>
      <c r="D870" s="30"/>
      <c r="E870" s="30"/>
      <c r="F870" s="30"/>
      <c r="G870" s="44"/>
      <c r="H870" s="30"/>
      <c r="I870" s="30"/>
      <c r="J870" s="30"/>
      <c r="K870" s="30"/>
      <c r="L870" s="30"/>
      <c r="M870" s="30"/>
      <c r="N870" s="30"/>
      <c r="O870" s="30"/>
      <c r="P870" s="30"/>
      <c r="Q870" s="30"/>
      <c r="R870" s="30"/>
      <c r="S870" s="30"/>
      <c r="T870" s="30"/>
      <c r="U870" s="30"/>
      <c r="V870" s="30"/>
      <c r="W870" s="30"/>
      <c r="X870" s="30"/>
      <c r="Y870" s="30"/>
      <c r="Z870" s="30"/>
      <c r="AA870" s="30"/>
      <c r="AB870" s="30"/>
      <c r="AC870" s="30"/>
      <c r="AD870" s="30"/>
      <c r="AE870" s="30"/>
      <c r="AF870" s="30"/>
      <c r="AG870" s="30"/>
      <c r="AH870" s="30"/>
      <c r="AI870" s="30"/>
      <c r="AJ870" s="30"/>
      <c r="AK870" s="30"/>
      <c r="AL870" s="30"/>
      <c r="AM870" s="30"/>
      <c r="AN870" s="30"/>
      <c r="AO870" s="30"/>
      <c r="AP870" s="30"/>
      <c r="AQ870" s="30"/>
      <c r="AR870" s="30"/>
      <c r="AS870" s="30"/>
      <c r="AT870" s="30"/>
    </row>
    <row r="871" ht="12.75" customHeight="1">
      <c r="A871" s="30"/>
      <c r="B871" s="30"/>
      <c r="C871" s="30"/>
      <c r="D871" s="30"/>
      <c r="E871" s="30"/>
      <c r="F871" s="30"/>
      <c r="G871" s="44"/>
      <c r="H871" s="30"/>
      <c r="I871" s="30"/>
      <c r="J871" s="30"/>
      <c r="K871" s="30"/>
      <c r="L871" s="30"/>
      <c r="M871" s="30"/>
      <c r="N871" s="30"/>
      <c r="O871" s="30"/>
      <c r="P871" s="30"/>
      <c r="Q871" s="30"/>
      <c r="R871" s="30"/>
      <c r="S871" s="30"/>
      <c r="T871" s="30"/>
      <c r="U871" s="30"/>
      <c r="V871" s="30"/>
      <c r="W871" s="30"/>
      <c r="X871" s="30"/>
      <c r="Y871" s="30"/>
      <c r="Z871" s="30"/>
      <c r="AA871" s="30"/>
      <c r="AB871" s="30"/>
      <c r="AC871" s="30"/>
      <c r="AD871" s="30"/>
      <c r="AE871" s="30"/>
      <c r="AF871" s="30"/>
      <c r="AG871" s="30"/>
      <c r="AH871" s="30"/>
      <c r="AI871" s="30"/>
      <c r="AJ871" s="30"/>
      <c r="AK871" s="30"/>
      <c r="AL871" s="30"/>
      <c r="AM871" s="30"/>
      <c r="AN871" s="30"/>
      <c r="AO871" s="30"/>
      <c r="AP871" s="30"/>
      <c r="AQ871" s="30"/>
      <c r="AR871" s="30"/>
      <c r="AS871" s="30"/>
      <c r="AT871" s="30"/>
    </row>
    <row r="872" ht="12.75" customHeight="1">
      <c r="A872" s="30"/>
      <c r="B872" s="30"/>
      <c r="C872" s="30"/>
      <c r="D872" s="30"/>
      <c r="E872" s="30"/>
      <c r="F872" s="30"/>
      <c r="G872" s="44"/>
      <c r="H872" s="30"/>
      <c r="I872" s="30"/>
      <c r="J872" s="30"/>
      <c r="K872" s="30"/>
      <c r="L872" s="30"/>
      <c r="M872" s="30"/>
      <c r="N872" s="30"/>
      <c r="O872" s="30"/>
      <c r="P872" s="30"/>
      <c r="Q872" s="30"/>
      <c r="R872" s="30"/>
      <c r="S872" s="30"/>
      <c r="T872" s="30"/>
      <c r="U872" s="30"/>
      <c r="V872" s="30"/>
      <c r="W872" s="30"/>
      <c r="X872" s="30"/>
      <c r="Y872" s="30"/>
      <c r="Z872" s="30"/>
      <c r="AA872" s="30"/>
      <c r="AB872" s="30"/>
      <c r="AC872" s="30"/>
      <c r="AD872" s="30"/>
      <c r="AE872" s="30"/>
      <c r="AF872" s="30"/>
      <c r="AG872" s="30"/>
      <c r="AH872" s="30"/>
      <c r="AI872" s="30"/>
      <c r="AJ872" s="30"/>
      <c r="AK872" s="30"/>
      <c r="AL872" s="30"/>
      <c r="AM872" s="30"/>
      <c r="AN872" s="30"/>
      <c r="AO872" s="30"/>
      <c r="AP872" s="30"/>
      <c r="AQ872" s="30"/>
      <c r="AR872" s="30"/>
      <c r="AS872" s="30"/>
      <c r="AT872" s="30"/>
    </row>
    <row r="873" ht="12.75" customHeight="1">
      <c r="A873" s="30"/>
      <c r="B873" s="30"/>
      <c r="C873" s="30"/>
      <c r="D873" s="30"/>
      <c r="E873" s="30"/>
      <c r="F873" s="30"/>
      <c r="G873" s="44"/>
      <c r="H873" s="30"/>
      <c r="I873" s="30"/>
      <c r="J873" s="30"/>
      <c r="K873" s="30"/>
      <c r="L873" s="30"/>
      <c r="M873" s="30"/>
      <c r="N873" s="30"/>
      <c r="O873" s="30"/>
      <c r="P873" s="30"/>
      <c r="Q873" s="30"/>
      <c r="R873" s="30"/>
      <c r="S873" s="30"/>
      <c r="T873" s="30"/>
      <c r="U873" s="30"/>
      <c r="V873" s="30"/>
      <c r="W873" s="30"/>
      <c r="X873" s="30"/>
      <c r="Y873" s="30"/>
      <c r="Z873" s="30"/>
      <c r="AA873" s="30"/>
      <c r="AB873" s="30"/>
      <c r="AC873" s="30"/>
      <c r="AD873" s="30"/>
      <c r="AE873" s="30"/>
      <c r="AF873" s="30"/>
      <c r="AG873" s="30"/>
      <c r="AH873" s="30"/>
      <c r="AI873" s="30"/>
      <c r="AJ873" s="30"/>
      <c r="AK873" s="30"/>
      <c r="AL873" s="30"/>
      <c r="AM873" s="30"/>
      <c r="AN873" s="30"/>
      <c r="AO873" s="30"/>
      <c r="AP873" s="30"/>
      <c r="AQ873" s="30"/>
      <c r="AR873" s="30"/>
      <c r="AS873" s="30"/>
      <c r="AT873" s="30"/>
    </row>
    <row r="874" ht="12.75" customHeight="1">
      <c r="A874" s="30"/>
      <c r="B874" s="30"/>
      <c r="C874" s="30"/>
      <c r="D874" s="30"/>
      <c r="E874" s="30"/>
      <c r="F874" s="30"/>
      <c r="G874" s="44"/>
      <c r="H874" s="30"/>
      <c r="I874" s="30"/>
      <c r="J874" s="30"/>
      <c r="K874" s="30"/>
      <c r="L874" s="30"/>
      <c r="M874" s="30"/>
      <c r="N874" s="30"/>
      <c r="O874" s="30"/>
      <c r="P874" s="30"/>
      <c r="Q874" s="30"/>
      <c r="R874" s="30"/>
      <c r="S874" s="30"/>
      <c r="T874" s="30"/>
      <c r="U874" s="30"/>
      <c r="V874" s="30"/>
      <c r="W874" s="30"/>
      <c r="X874" s="30"/>
      <c r="Y874" s="30"/>
      <c r="Z874" s="30"/>
      <c r="AA874" s="30"/>
      <c r="AB874" s="30"/>
      <c r="AC874" s="30"/>
      <c r="AD874" s="30"/>
      <c r="AE874" s="30"/>
      <c r="AF874" s="30"/>
      <c r="AG874" s="30"/>
      <c r="AH874" s="30"/>
      <c r="AI874" s="30"/>
      <c r="AJ874" s="30"/>
      <c r="AK874" s="30"/>
      <c r="AL874" s="30"/>
      <c r="AM874" s="30"/>
      <c r="AN874" s="30"/>
      <c r="AO874" s="30"/>
      <c r="AP874" s="30"/>
      <c r="AQ874" s="30"/>
      <c r="AR874" s="30"/>
      <c r="AS874" s="30"/>
      <c r="AT874" s="30"/>
    </row>
    <row r="875" ht="12.75" customHeight="1">
      <c r="A875" s="30"/>
      <c r="B875" s="30"/>
      <c r="C875" s="30"/>
      <c r="D875" s="30"/>
      <c r="E875" s="30"/>
      <c r="F875" s="30"/>
      <c r="G875" s="44"/>
      <c r="H875" s="30"/>
      <c r="I875" s="30"/>
      <c r="J875" s="30"/>
      <c r="K875" s="30"/>
      <c r="L875" s="30"/>
      <c r="M875" s="30"/>
      <c r="N875" s="30"/>
      <c r="O875" s="30"/>
      <c r="P875" s="30"/>
      <c r="Q875" s="30"/>
      <c r="R875" s="30"/>
      <c r="S875" s="30"/>
      <c r="T875" s="30"/>
      <c r="U875" s="30"/>
      <c r="V875" s="30"/>
      <c r="W875" s="30"/>
      <c r="X875" s="30"/>
      <c r="Y875" s="30"/>
      <c r="Z875" s="30"/>
      <c r="AA875" s="30"/>
      <c r="AB875" s="30"/>
      <c r="AC875" s="30"/>
      <c r="AD875" s="30"/>
      <c r="AE875" s="30"/>
      <c r="AF875" s="30"/>
      <c r="AG875" s="30"/>
      <c r="AH875" s="30"/>
      <c r="AI875" s="30"/>
      <c r="AJ875" s="30"/>
      <c r="AK875" s="30"/>
      <c r="AL875" s="30"/>
      <c r="AM875" s="30"/>
      <c r="AN875" s="30"/>
      <c r="AO875" s="30"/>
      <c r="AP875" s="30"/>
      <c r="AQ875" s="30"/>
      <c r="AR875" s="30"/>
      <c r="AS875" s="30"/>
      <c r="AT875" s="30"/>
    </row>
    <row r="876" ht="12.75" customHeight="1">
      <c r="A876" s="30"/>
      <c r="B876" s="30"/>
      <c r="C876" s="30"/>
      <c r="D876" s="30"/>
      <c r="E876" s="30"/>
      <c r="F876" s="30"/>
      <c r="G876" s="44"/>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row>
    <row r="877" ht="12.75" customHeight="1">
      <c r="A877" s="30"/>
      <c r="B877" s="30"/>
      <c r="C877" s="30"/>
      <c r="D877" s="30"/>
      <c r="E877" s="30"/>
      <c r="F877" s="30"/>
      <c r="G877" s="44"/>
      <c r="H877" s="30"/>
      <c r="I877" s="30"/>
      <c r="J877" s="30"/>
      <c r="K877" s="30"/>
      <c r="L877" s="30"/>
      <c r="M877" s="30"/>
      <c r="N877" s="30"/>
      <c r="O877" s="30"/>
      <c r="P877" s="30"/>
      <c r="Q877" s="30"/>
      <c r="R877" s="30"/>
      <c r="S877" s="30"/>
      <c r="T877" s="30"/>
      <c r="U877" s="30"/>
      <c r="V877" s="30"/>
      <c r="W877" s="30"/>
      <c r="X877" s="30"/>
      <c r="Y877" s="30"/>
      <c r="Z877" s="30"/>
      <c r="AA877" s="30"/>
      <c r="AB877" s="30"/>
      <c r="AC877" s="30"/>
      <c r="AD877" s="30"/>
      <c r="AE877" s="30"/>
      <c r="AF877" s="30"/>
      <c r="AG877" s="30"/>
      <c r="AH877" s="30"/>
      <c r="AI877" s="30"/>
      <c r="AJ877" s="30"/>
      <c r="AK877" s="30"/>
      <c r="AL877" s="30"/>
      <c r="AM877" s="30"/>
      <c r="AN877" s="30"/>
      <c r="AO877" s="30"/>
      <c r="AP877" s="30"/>
      <c r="AQ877" s="30"/>
      <c r="AR877" s="30"/>
      <c r="AS877" s="30"/>
      <c r="AT877" s="30"/>
    </row>
    <row r="878" ht="12.75" customHeight="1">
      <c r="A878" s="30"/>
      <c r="B878" s="30"/>
      <c r="C878" s="30"/>
      <c r="D878" s="30"/>
      <c r="E878" s="30"/>
      <c r="F878" s="30"/>
      <c r="G878" s="44"/>
      <c r="H878" s="30"/>
      <c r="I878" s="30"/>
      <c r="J878" s="30"/>
      <c r="K878" s="30"/>
      <c r="L878" s="30"/>
      <c r="M878" s="30"/>
      <c r="N878" s="30"/>
      <c r="O878" s="30"/>
      <c r="P878" s="30"/>
      <c r="Q878" s="30"/>
      <c r="R878" s="30"/>
      <c r="S878" s="30"/>
      <c r="T878" s="30"/>
      <c r="U878" s="30"/>
      <c r="V878" s="30"/>
      <c r="W878" s="30"/>
      <c r="X878" s="30"/>
      <c r="Y878" s="30"/>
      <c r="Z878" s="30"/>
      <c r="AA878" s="30"/>
      <c r="AB878" s="30"/>
      <c r="AC878" s="30"/>
      <c r="AD878" s="30"/>
      <c r="AE878" s="30"/>
      <c r="AF878" s="30"/>
      <c r="AG878" s="30"/>
      <c r="AH878" s="30"/>
      <c r="AI878" s="30"/>
      <c r="AJ878" s="30"/>
      <c r="AK878" s="30"/>
      <c r="AL878" s="30"/>
      <c r="AM878" s="30"/>
      <c r="AN878" s="30"/>
      <c r="AO878" s="30"/>
      <c r="AP878" s="30"/>
      <c r="AQ878" s="30"/>
      <c r="AR878" s="30"/>
      <c r="AS878" s="30"/>
      <c r="AT878" s="30"/>
    </row>
    <row r="879" ht="12.75" customHeight="1">
      <c r="A879" s="30"/>
      <c r="B879" s="30"/>
      <c r="C879" s="30"/>
      <c r="D879" s="30"/>
      <c r="E879" s="30"/>
      <c r="F879" s="30"/>
      <c r="G879" s="44"/>
      <c r="H879" s="30"/>
      <c r="I879" s="30"/>
      <c r="J879" s="30"/>
      <c r="K879" s="30"/>
      <c r="L879" s="30"/>
      <c r="M879" s="30"/>
      <c r="N879" s="30"/>
      <c r="O879" s="30"/>
      <c r="P879" s="30"/>
      <c r="Q879" s="30"/>
      <c r="R879" s="30"/>
      <c r="S879" s="30"/>
      <c r="T879" s="30"/>
      <c r="U879" s="30"/>
      <c r="V879" s="30"/>
      <c r="W879" s="30"/>
      <c r="X879" s="30"/>
      <c r="Y879" s="30"/>
      <c r="Z879" s="30"/>
      <c r="AA879" s="30"/>
      <c r="AB879" s="30"/>
      <c r="AC879" s="30"/>
      <c r="AD879" s="30"/>
      <c r="AE879" s="30"/>
      <c r="AF879" s="30"/>
      <c r="AG879" s="30"/>
      <c r="AH879" s="30"/>
      <c r="AI879" s="30"/>
      <c r="AJ879" s="30"/>
      <c r="AK879" s="30"/>
      <c r="AL879" s="30"/>
      <c r="AM879" s="30"/>
      <c r="AN879" s="30"/>
      <c r="AO879" s="30"/>
      <c r="AP879" s="30"/>
      <c r="AQ879" s="30"/>
      <c r="AR879" s="30"/>
      <c r="AS879" s="30"/>
      <c r="AT879" s="30"/>
    </row>
    <row r="880" ht="12.75" customHeight="1">
      <c r="A880" s="30"/>
      <c r="B880" s="30"/>
      <c r="C880" s="30"/>
      <c r="D880" s="30"/>
      <c r="E880" s="30"/>
      <c r="F880" s="30"/>
      <c r="G880" s="44"/>
      <c r="H880" s="30"/>
      <c r="I880" s="30"/>
      <c r="J880" s="30"/>
      <c r="K880" s="30"/>
      <c r="L880" s="30"/>
      <c r="M880" s="30"/>
      <c r="N880" s="30"/>
      <c r="O880" s="30"/>
      <c r="P880" s="30"/>
      <c r="Q880" s="30"/>
      <c r="R880" s="30"/>
      <c r="S880" s="30"/>
      <c r="T880" s="30"/>
      <c r="U880" s="30"/>
      <c r="V880" s="30"/>
      <c r="W880" s="30"/>
      <c r="X880" s="30"/>
      <c r="Y880" s="30"/>
      <c r="Z880" s="30"/>
      <c r="AA880" s="30"/>
      <c r="AB880" s="30"/>
      <c r="AC880" s="30"/>
      <c r="AD880" s="30"/>
      <c r="AE880" s="30"/>
      <c r="AF880" s="30"/>
      <c r="AG880" s="30"/>
      <c r="AH880" s="30"/>
      <c r="AI880" s="30"/>
      <c r="AJ880" s="30"/>
      <c r="AK880" s="30"/>
      <c r="AL880" s="30"/>
      <c r="AM880" s="30"/>
      <c r="AN880" s="30"/>
      <c r="AO880" s="30"/>
      <c r="AP880" s="30"/>
      <c r="AQ880" s="30"/>
      <c r="AR880" s="30"/>
      <c r="AS880" s="30"/>
      <c r="AT880" s="30"/>
    </row>
    <row r="881" ht="12.75" customHeight="1">
      <c r="A881" s="30"/>
      <c r="B881" s="30"/>
      <c r="C881" s="30"/>
      <c r="D881" s="30"/>
      <c r="E881" s="30"/>
      <c r="F881" s="30"/>
      <c r="G881" s="44"/>
      <c r="H881" s="30"/>
      <c r="I881" s="30"/>
      <c r="J881" s="30"/>
      <c r="K881" s="30"/>
      <c r="L881" s="30"/>
      <c r="M881" s="30"/>
      <c r="N881" s="30"/>
      <c r="O881" s="30"/>
      <c r="P881" s="30"/>
      <c r="Q881" s="30"/>
      <c r="R881" s="30"/>
      <c r="S881" s="30"/>
      <c r="T881" s="30"/>
      <c r="U881" s="30"/>
      <c r="V881" s="30"/>
      <c r="W881" s="30"/>
      <c r="X881" s="30"/>
      <c r="Y881" s="30"/>
      <c r="Z881" s="30"/>
      <c r="AA881" s="30"/>
      <c r="AB881" s="30"/>
      <c r="AC881" s="30"/>
      <c r="AD881" s="30"/>
      <c r="AE881" s="30"/>
      <c r="AF881" s="30"/>
      <c r="AG881" s="30"/>
      <c r="AH881" s="30"/>
      <c r="AI881" s="30"/>
      <c r="AJ881" s="30"/>
      <c r="AK881" s="30"/>
      <c r="AL881" s="30"/>
      <c r="AM881" s="30"/>
      <c r="AN881" s="30"/>
      <c r="AO881" s="30"/>
      <c r="AP881" s="30"/>
      <c r="AQ881" s="30"/>
      <c r="AR881" s="30"/>
      <c r="AS881" s="30"/>
      <c r="AT881" s="30"/>
    </row>
    <row r="882" ht="12.75" customHeight="1">
      <c r="A882" s="30"/>
      <c r="B882" s="30"/>
      <c r="C882" s="30"/>
      <c r="D882" s="30"/>
      <c r="E882" s="30"/>
      <c r="F882" s="30"/>
      <c r="G882" s="44"/>
      <c r="H882" s="30"/>
      <c r="I882" s="30"/>
      <c r="J882" s="30"/>
      <c r="K882" s="30"/>
      <c r="L882" s="30"/>
      <c r="M882" s="30"/>
      <c r="N882" s="30"/>
      <c r="O882" s="30"/>
      <c r="P882" s="30"/>
      <c r="Q882" s="30"/>
      <c r="R882" s="30"/>
      <c r="S882" s="30"/>
      <c r="T882" s="30"/>
      <c r="U882" s="30"/>
      <c r="V882" s="30"/>
      <c r="W882" s="30"/>
      <c r="X882" s="30"/>
      <c r="Y882" s="30"/>
      <c r="Z882" s="30"/>
      <c r="AA882" s="30"/>
      <c r="AB882" s="30"/>
      <c r="AC882" s="30"/>
      <c r="AD882" s="30"/>
      <c r="AE882" s="30"/>
      <c r="AF882" s="30"/>
      <c r="AG882" s="30"/>
      <c r="AH882" s="30"/>
      <c r="AI882" s="30"/>
      <c r="AJ882" s="30"/>
      <c r="AK882" s="30"/>
      <c r="AL882" s="30"/>
      <c r="AM882" s="30"/>
      <c r="AN882" s="30"/>
      <c r="AO882" s="30"/>
      <c r="AP882" s="30"/>
      <c r="AQ882" s="30"/>
      <c r="AR882" s="30"/>
      <c r="AS882" s="30"/>
      <c r="AT882" s="30"/>
    </row>
    <row r="883" ht="12.75" customHeight="1">
      <c r="A883" s="30"/>
      <c r="B883" s="30"/>
      <c r="C883" s="30"/>
      <c r="D883" s="30"/>
      <c r="E883" s="30"/>
      <c r="F883" s="30"/>
      <c r="G883" s="44"/>
      <c r="H883" s="30"/>
      <c r="I883" s="30"/>
      <c r="J883" s="30"/>
      <c r="K883" s="30"/>
      <c r="L883" s="30"/>
      <c r="M883" s="30"/>
      <c r="N883" s="30"/>
      <c r="O883" s="30"/>
      <c r="P883" s="30"/>
      <c r="Q883" s="30"/>
      <c r="R883" s="30"/>
      <c r="S883" s="30"/>
      <c r="T883" s="30"/>
      <c r="U883" s="30"/>
      <c r="V883" s="30"/>
      <c r="W883" s="30"/>
      <c r="X883" s="30"/>
      <c r="Y883" s="30"/>
      <c r="Z883" s="30"/>
      <c r="AA883" s="30"/>
      <c r="AB883" s="30"/>
      <c r="AC883" s="30"/>
      <c r="AD883" s="30"/>
      <c r="AE883" s="30"/>
      <c r="AF883" s="30"/>
      <c r="AG883" s="30"/>
      <c r="AH883" s="30"/>
      <c r="AI883" s="30"/>
      <c r="AJ883" s="30"/>
      <c r="AK883" s="30"/>
      <c r="AL883" s="30"/>
      <c r="AM883" s="30"/>
      <c r="AN883" s="30"/>
      <c r="AO883" s="30"/>
      <c r="AP883" s="30"/>
      <c r="AQ883" s="30"/>
      <c r="AR883" s="30"/>
      <c r="AS883" s="30"/>
      <c r="AT883" s="30"/>
    </row>
    <row r="884" ht="12.75" customHeight="1">
      <c r="A884" s="30"/>
      <c r="B884" s="30"/>
      <c r="C884" s="30"/>
      <c r="D884" s="30"/>
      <c r="E884" s="30"/>
      <c r="F884" s="30"/>
      <c r="G884" s="44"/>
      <c r="H884" s="30"/>
      <c r="I884" s="30"/>
      <c r="J884" s="30"/>
      <c r="K884" s="30"/>
      <c r="L884" s="30"/>
      <c r="M884" s="30"/>
      <c r="N884" s="30"/>
      <c r="O884" s="30"/>
      <c r="P884" s="30"/>
      <c r="Q884" s="30"/>
      <c r="R884" s="30"/>
      <c r="S884" s="30"/>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c r="AQ884" s="30"/>
      <c r="AR884" s="30"/>
      <c r="AS884" s="30"/>
      <c r="AT884" s="30"/>
    </row>
    <row r="885" ht="12.75" customHeight="1">
      <c r="A885" s="30"/>
      <c r="B885" s="30"/>
      <c r="C885" s="30"/>
      <c r="D885" s="30"/>
      <c r="E885" s="30"/>
      <c r="F885" s="30"/>
      <c r="G885" s="44"/>
      <c r="H885" s="30"/>
      <c r="I885" s="30"/>
      <c r="J885" s="30"/>
      <c r="K885" s="30"/>
      <c r="L885" s="30"/>
      <c r="M885" s="30"/>
      <c r="N885" s="30"/>
      <c r="O885" s="30"/>
      <c r="P885" s="30"/>
      <c r="Q885" s="30"/>
      <c r="R885" s="30"/>
      <c r="S885" s="30"/>
      <c r="T885" s="30"/>
      <c r="U885" s="30"/>
      <c r="V885" s="30"/>
      <c r="W885" s="30"/>
      <c r="X885" s="30"/>
      <c r="Y885" s="30"/>
      <c r="Z885" s="30"/>
      <c r="AA885" s="30"/>
      <c r="AB885" s="30"/>
      <c r="AC885" s="30"/>
      <c r="AD885" s="30"/>
      <c r="AE885" s="30"/>
      <c r="AF885" s="30"/>
      <c r="AG885" s="30"/>
      <c r="AH885" s="30"/>
      <c r="AI885" s="30"/>
      <c r="AJ885" s="30"/>
      <c r="AK885" s="30"/>
      <c r="AL885" s="30"/>
      <c r="AM885" s="30"/>
      <c r="AN885" s="30"/>
      <c r="AO885" s="30"/>
      <c r="AP885" s="30"/>
      <c r="AQ885" s="30"/>
      <c r="AR885" s="30"/>
      <c r="AS885" s="30"/>
      <c r="AT885" s="30"/>
    </row>
    <row r="886" ht="12.75" customHeight="1">
      <c r="A886" s="30"/>
      <c r="B886" s="30"/>
      <c r="C886" s="30"/>
      <c r="D886" s="30"/>
      <c r="E886" s="30"/>
      <c r="F886" s="30"/>
      <c r="G886" s="44"/>
      <c r="H886" s="30"/>
      <c r="I886" s="30"/>
      <c r="J886" s="30"/>
      <c r="K886" s="30"/>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row>
    <row r="887" ht="12.75" customHeight="1">
      <c r="A887" s="30"/>
      <c r="B887" s="30"/>
      <c r="C887" s="30"/>
      <c r="D887" s="30"/>
      <c r="E887" s="30"/>
      <c r="F887" s="30"/>
      <c r="G887" s="44"/>
      <c r="H887" s="30"/>
      <c r="I887" s="30"/>
      <c r="J887" s="30"/>
      <c r="K887" s="30"/>
      <c r="L887" s="30"/>
      <c r="M887" s="30"/>
      <c r="N887" s="30"/>
      <c r="O887" s="30"/>
      <c r="P887" s="30"/>
      <c r="Q887" s="30"/>
      <c r="R887" s="30"/>
      <c r="S887" s="30"/>
      <c r="T887" s="30"/>
      <c r="U887" s="30"/>
      <c r="V887" s="30"/>
      <c r="W887" s="30"/>
      <c r="X887" s="30"/>
      <c r="Y887" s="30"/>
      <c r="Z887" s="30"/>
      <c r="AA887" s="30"/>
      <c r="AB887" s="30"/>
      <c r="AC887" s="30"/>
      <c r="AD887" s="30"/>
      <c r="AE887" s="30"/>
      <c r="AF887" s="30"/>
      <c r="AG887" s="30"/>
      <c r="AH887" s="30"/>
      <c r="AI887" s="30"/>
      <c r="AJ887" s="30"/>
      <c r="AK887" s="30"/>
      <c r="AL887" s="30"/>
      <c r="AM887" s="30"/>
      <c r="AN887" s="30"/>
      <c r="AO887" s="30"/>
      <c r="AP887" s="30"/>
      <c r="AQ887" s="30"/>
      <c r="AR887" s="30"/>
      <c r="AS887" s="30"/>
      <c r="AT887" s="30"/>
    </row>
    <row r="888" ht="12.75" customHeight="1">
      <c r="A888" s="30"/>
      <c r="B888" s="30"/>
      <c r="C888" s="30"/>
      <c r="D888" s="30"/>
      <c r="E888" s="30"/>
      <c r="F888" s="30"/>
      <c r="G888" s="44"/>
      <c r="H888" s="30"/>
      <c r="I888" s="30"/>
      <c r="J888" s="30"/>
      <c r="K888" s="30"/>
      <c r="L888" s="30"/>
      <c r="M888" s="30"/>
      <c r="N888" s="30"/>
      <c r="O888" s="30"/>
      <c r="P888" s="30"/>
      <c r="Q888" s="30"/>
      <c r="R888" s="30"/>
      <c r="S888" s="30"/>
      <c r="T888" s="30"/>
      <c r="U888" s="30"/>
      <c r="V888" s="30"/>
      <c r="W888" s="30"/>
      <c r="X888" s="30"/>
      <c r="Y888" s="30"/>
      <c r="Z888" s="30"/>
      <c r="AA888" s="30"/>
      <c r="AB888" s="30"/>
      <c r="AC888" s="30"/>
      <c r="AD888" s="30"/>
      <c r="AE888" s="30"/>
      <c r="AF888" s="30"/>
      <c r="AG888" s="30"/>
      <c r="AH888" s="30"/>
      <c r="AI888" s="30"/>
      <c r="AJ888" s="30"/>
      <c r="AK888" s="30"/>
      <c r="AL888" s="30"/>
      <c r="AM888" s="30"/>
      <c r="AN888" s="30"/>
      <c r="AO888" s="30"/>
      <c r="AP888" s="30"/>
      <c r="AQ888" s="30"/>
      <c r="AR888" s="30"/>
      <c r="AS888" s="30"/>
      <c r="AT888" s="30"/>
    </row>
    <row r="889" ht="12.75" customHeight="1">
      <c r="A889" s="30"/>
      <c r="B889" s="30"/>
      <c r="C889" s="30"/>
      <c r="D889" s="30"/>
      <c r="E889" s="30"/>
      <c r="F889" s="30"/>
      <c r="G889" s="44"/>
      <c r="H889" s="30"/>
      <c r="I889" s="30"/>
      <c r="J889" s="30"/>
      <c r="K889" s="30"/>
      <c r="L889" s="30"/>
      <c r="M889" s="30"/>
      <c r="N889" s="30"/>
      <c r="O889" s="30"/>
      <c r="P889" s="30"/>
      <c r="Q889" s="30"/>
      <c r="R889" s="30"/>
      <c r="S889" s="30"/>
      <c r="T889" s="30"/>
      <c r="U889" s="30"/>
      <c r="V889" s="30"/>
      <c r="W889" s="30"/>
      <c r="X889" s="30"/>
      <c r="Y889" s="30"/>
      <c r="Z889" s="30"/>
      <c r="AA889" s="30"/>
      <c r="AB889" s="30"/>
      <c r="AC889" s="30"/>
      <c r="AD889" s="30"/>
      <c r="AE889" s="30"/>
      <c r="AF889" s="30"/>
      <c r="AG889" s="30"/>
      <c r="AH889" s="30"/>
      <c r="AI889" s="30"/>
      <c r="AJ889" s="30"/>
      <c r="AK889" s="30"/>
      <c r="AL889" s="30"/>
      <c r="AM889" s="30"/>
      <c r="AN889" s="30"/>
      <c r="AO889" s="30"/>
      <c r="AP889" s="30"/>
      <c r="AQ889" s="30"/>
      <c r="AR889" s="30"/>
      <c r="AS889" s="30"/>
      <c r="AT889" s="30"/>
    </row>
    <row r="890" ht="12.75" customHeight="1">
      <c r="A890" s="30"/>
      <c r="B890" s="30"/>
      <c r="C890" s="30"/>
      <c r="D890" s="30"/>
      <c r="E890" s="30"/>
      <c r="F890" s="30"/>
      <c r="G890" s="44"/>
      <c r="H890" s="30"/>
      <c r="I890" s="30"/>
      <c r="J890" s="30"/>
      <c r="K890" s="30"/>
      <c r="L890" s="30"/>
      <c r="M890" s="30"/>
      <c r="N890" s="30"/>
      <c r="O890" s="30"/>
      <c r="P890" s="30"/>
      <c r="Q890" s="30"/>
      <c r="R890" s="30"/>
      <c r="S890" s="30"/>
      <c r="T890" s="30"/>
      <c r="U890" s="30"/>
      <c r="V890" s="30"/>
      <c r="W890" s="30"/>
      <c r="X890" s="30"/>
      <c r="Y890" s="30"/>
      <c r="Z890" s="30"/>
      <c r="AA890" s="30"/>
      <c r="AB890" s="30"/>
      <c r="AC890" s="30"/>
      <c r="AD890" s="30"/>
      <c r="AE890" s="30"/>
      <c r="AF890" s="30"/>
      <c r="AG890" s="30"/>
      <c r="AH890" s="30"/>
      <c r="AI890" s="30"/>
      <c r="AJ890" s="30"/>
      <c r="AK890" s="30"/>
      <c r="AL890" s="30"/>
      <c r="AM890" s="30"/>
      <c r="AN890" s="30"/>
      <c r="AO890" s="30"/>
      <c r="AP890" s="30"/>
      <c r="AQ890" s="30"/>
      <c r="AR890" s="30"/>
      <c r="AS890" s="30"/>
      <c r="AT890" s="30"/>
    </row>
    <row r="891" ht="12.75" customHeight="1">
      <c r="A891" s="30"/>
      <c r="B891" s="30"/>
      <c r="C891" s="30"/>
      <c r="D891" s="30"/>
      <c r="E891" s="30"/>
      <c r="F891" s="30"/>
      <c r="G891" s="44"/>
      <c r="H891" s="30"/>
      <c r="I891" s="30"/>
      <c r="J891" s="30"/>
      <c r="K891" s="30"/>
      <c r="L891" s="30"/>
      <c r="M891" s="30"/>
      <c r="N891" s="30"/>
      <c r="O891" s="30"/>
      <c r="P891" s="30"/>
      <c r="Q891" s="30"/>
      <c r="R891" s="30"/>
      <c r="S891" s="30"/>
      <c r="T891" s="30"/>
      <c r="U891" s="30"/>
      <c r="V891" s="30"/>
      <c r="W891" s="30"/>
      <c r="X891" s="30"/>
      <c r="Y891" s="30"/>
      <c r="Z891" s="30"/>
      <c r="AA891" s="30"/>
      <c r="AB891" s="30"/>
      <c r="AC891" s="30"/>
      <c r="AD891" s="30"/>
      <c r="AE891" s="30"/>
      <c r="AF891" s="30"/>
      <c r="AG891" s="30"/>
      <c r="AH891" s="30"/>
      <c r="AI891" s="30"/>
      <c r="AJ891" s="30"/>
      <c r="AK891" s="30"/>
      <c r="AL891" s="30"/>
      <c r="AM891" s="30"/>
      <c r="AN891" s="30"/>
      <c r="AO891" s="30"/>
      <c r="AP891" s="30"/>
      <c r="AQ891" s="30"/>
      <c r="AR891" s="30"/>
      <c r="AS891" s="30"/>
      <c r="AT891" s="30"/>
    </row>
    <row r="892" ht="12.75" customHeight="1">
      <c r="A892" s="30"/>
      <c r="B892" s="30"/>
      <c r="C892" s="30"/>
      <c r="D892" s="30"/>
      <c r="E892" s="30"/>
      <c r="F892" s="30"/>
      <c r="G892" s="44"/>
      <c r="H892" s="30"/>
      <c r="I892" s="30"/>
      <c r="J892" s="30"/>
      <c r="K892" s="30"/>
      <c r="L892" s="30"/>
      <c r="M892" s="30"/>
      <c r="N892" s="30"/>
      <c r="O892" s="30"/>
      <c r="P892" s="30"/>
      <c r="Q892" s="30"/>
      <c r="R892" s="30"/>
      <c r="S892" s="30"/>
      <c r="T892" s="30"/>
      <c r="U892" s="30"/>
      <c r="V892" s="30"/>
      <c r="W892" s="30"/>
      <c r="X892" s="30"/>
      <c r="Y892" s="30"/>
      <c r="Z892" s="30"/>
      <c r="AA892" s="30"/>
      <c r="AB892" s="30"/>
      <c r="AC892" s="30"/>
      <c r="AD892" s="30"/>
      <c r="AE892" s="30"/>
      <c r="AF892" s="30"/>
      <c r="AG892" s="30"/>
      <c r="AH892" s="30"/>
      <c r="AI892" s="30"/>
      <c r="AJ892" s="30"/>
      <c r="AK892" s="30"/>
      <c r="AL892" s="30"/>
      <c r="AM892" s="30"/>
      <c r="AN892" s="30"/>
      <c r="AO892" s="30"/>
      <c r="AP892" s="30"/>
      <c r="AQ892" s="30"/>
      <c r="AR892" s="30"/>
      <c r="AS892" s="30"/>
      <c r="AT892" s="30"/>
    </row>
    <row r="893" ht="12.75" customHeight="1">
      <c r="A893" s="30"/>
      <c r="B893" s="30"/>
      <c r="C893" s="30"/>
      <c r="D893" s="30"/>
      <c r="E893" s="30"/>
      <c r="F893" s="30"/>
      <c r="G893" s="44"/>
      <c r="H893" s="30"/>
      <c r="I893" s="30"/>
      <c r="J893" s="30"/>
      <c r="K893" s="30"/>
      <c r="L893" s="30"/>
      <c r="M893" s="30"/>
      <c r="N893" s="30"/>
      <c r="O893" s="30"/>
      <c r="P893" s="30"/>
      <c r="Q893" s="30"/>
      <c r="R893" s="30"/>
      <c r="S893" s="30"/>
      <c r="T893" s="30"/>
      <c r="U893" s="30"/>
      <c r="V893" s="30"/>
      <c r="W893" s="30"/>
      <c r="X893" s="30"/>
      <c r="Y893" s="30"/>
      <c r="Z893" s="30"/>
      <c r="AA893" s="30"/>
      <c r="AB893" s="30"/>
      <c r="AC893" s="30"/>
      <c r="AD893" s="30"/>
      <c r="AE893" s="30"/>
      <c r="AF893" s="30"/>
      <c r="AG893" s="30"/>
      <c r="AH893" s="30"/>
      <c r="AI893" s="30"/>
      <c r="AJ893" s="30"/>
      <c r="AK893" s="30"/>
      <c r="AL893" s="30"/>
      <c r="AM893" s="30"/>
      <c r="AN893" s="30"/>
      <c r="AO893" s="30"/>
      <c r="AP893" s="30"/>
      <c r="AQ893" s="30"/>
      <c r="AR893" s="30"/>
      <c r="AS893" s="30"/>
      <c r="AT893" s="30"/>
    </row>
    <row r="894" ht="12.75" customHeight="1">
      <c r="A894" s="30"/>
      <c r="B894" s="30"/>
      <c r="C894" s="30"/>
      <c r="D894" s="30"/>
      <c r="E894" s="30"/>
      <c r="F894" s="30"/>
      <c r="G894" s="44"/>
      <c r="H894" s="30"/>
      <c r="I894" s="30"/>
      <c r="J894" s="30"/>
      <c r="K894" s="30"/>
      <c r="L894" s="30"/>
      <c r="M894" s="30"/>
      <c r="N894" s="30"/>
      <c r="O894" s="30"/>
      <c r="P894" s="30"/>
      <c r="Q894" s="30"/>
      <c r="R894" s="30"/>
      <c r="S894" s="30"/>
      <c r="T894" s="30"/>
      <c r="U894" s="30"/>
      <c r="V894" s="30"/>
      <c r="W894" s="30"/>
      <c r="X894" s="30"/>
      <c r="Y894" s="30"/>
      <c r="Z894" s="30"/>
      <c r="AA894" s="30"/>
      <c r="AB894" s="30"/>
      <c r="AC894" s="30"/>
      <c r="AD894" s="30"/>
      <c r="AE894" s="30"/>
      <c r="AF894" s="30"/>
      <c r="AG894" s="30"/>
      <c r="AH894" s="30"/>
      <c r="AI894" s="30"/>
      <c r="AJ894" s="30"/>
      <c r="AK894" s="30"/>
      <c r="AL894" s="30"/>
      <c r="AM894" s="30"/>
      <c r="AN894" s="30"/>
      <c r="AO894" s="30"/>
      <c r="AP894" s="30"/>
      <c r="AQ894" s="30"/>
      <c r="AR894" s="30"/>
      <c r="AS894" s="30"/>
      <c r="AT894" s="30"/>
    </row>
    <row r="895" ht="12.75" customHeight="1">
      <c r="A895" s="30"/>
      <c r="B895" s="30"/>
      <c r="C895" s="30"/>
      <c r="D895" s="30"/>
      <c r="E895" s="30"/>
      <c r="F895" s="30"/>
      <c r="G895" s="44"/>
      <c r="H895" s="30"/>
      <c r="I895" s="30"/>
      <c r="J895" s="30"/>
      <c r="K895" s="30"/>
      <c r="L895" s="30"/>
      <c r="M895" s="30"/>
      <c r="N895" s="30"/>
      <c r="O895" s="30"/>
      <c r="P895" s="30"/>
      <c r="Q895" s="30"/>
      <c r="R895" s="30"/>
      <c r="S895" s="30"/>
      <c r="T895" s="30"/>
      <c r="U895" s="30"/>
      <c r="V895" s="30"/>
      <c r="W895" s="30"/>
      <c r="X895" s="30"/>
      <c r="Y895" s="30"/>
      <c r="Z895" s="30"/>
      <c r="AA895" s="30"/>
      <c r="AB895" s="30"/>
      <c r="AC895" s="30"/>
      <c r="AD895" s="30"/>
      <c r="AE895" s="30"/>
      <c r="AF895" s="30"/>
      <c r="AG895" s="30"/>
      <c r="AH895" s="30"/>
      <c r="AI895" s="30"/>
      <c r="AJ895" s="30"/>
      <c r="AK895" s="30"/>
      <c r="AL895" s="30"/>
      <c r="AM895" s="30"/>
      <c r="AN895" s="30"/>
      <c r="AO895" s="30"/>
      <c r="AP895" s="30"/>
      <c r="AQ895" s="30"/>
      <c r="AR895" s="30"/>
      <c r="AS895" s="30"/>
      <c r="AT895" s="30"/>
    </row>
    <row r="896" ht="12.75" customHeight="1">
      <c r="A896" s="30"/>
      <c r="B896" s="30"/>
      <c r="C896" s="30"/>
      <c r="D896" s="30"/>
      <c r="E896" s="30"/>
      <c r="F896" s="30"/>
      <c r="G896" s="44"/>
      <c r="H896" s="30"/>
      <c r="I896" s="30"/>
      <c r="J896" s="30"/>
      <c r="K896" s="30"/>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row>
    <row r="897" ht="12.75" customHeight="1">
      <c r="A897" s="30"/>
      <c r="B897" s="30"/>
      <c r="C897" s="30"/>
      <c r="D897" s="30"/>
      <c r="E897" s="30"/>
      <c r="F897" s="30"/>
      <c r="G897" s="44"/>
      <c r="H897" s="30"/>
      <c r="I897" s="30"/>
      <c r="J897" s="30"/>
      <c r="K897" s="30"/>
      <c r="L897" s="30"/>
      <c r="M897" s="30"/>
      <c r="N897" s="30"/>
      <c r="O897" s="30"/>
      <c r="P897" s="30"/>
      <c r="Q897" s="30"/>
      <c r="R897" s="30"/>
      <c r="S897" s="30"/>
      <c r="T897" s="30"/>
      <c r="U897" s="30"/>
      <c r="V897" s="30"/>
      <c r="W897" s="30"/>
      <c r="X897" s="30"/>
      <c r="Y897" s="30"/>
      <c r="Z897" s="30"/>
      <c r="AA897" s="30"/>
      <c r="AB897" s="30"/>
      <c r="AC897" s="30"/>
      <c r="AD897" s="30"/>
      <c r="AE897" s="30"/>
      <c r="AF897" s="30"/>
      <c r="AG897" s="30"/>
      <c r="AH897" s="30"/>
      <c r="AI897" s="30"/>
      <c r="AJ897" s="30"/>
      <c r="AK897" s="30"/>
      <c r="AL897" s="30"/>
      <c r="AM897" s="30"/>
      <c r="AN897" s="30"/>
      <c r="AO897" s="30"/>
      <c r="AP897" s="30"/>
      <c r="AQ897" s="30"/>
      <c r="AR897" s="30"/>
      <c r="AS897" s="30"/>
      <c r="AT897" s="30"/>
    </row>
    <row r="898" ht="12.75" customHeight="1">
      <c r="A898" s="30"/>
      <c r="B898" s="30"/>
      <c r="C898" s="30"/>
      <c r="D898" s="30"/>
      <c r="E898" s="30"/>
      <c r="F898" s="30"/>
      <c r="G898" s="44"/>
      <c r="H898" s="30"/>
      <c r="I898" s="30"/>
      <c r="J898" s="30"/>
      <c r="K898" s="30"/>
      <c r="L898" s="30"/>
      <c r="M898" s="30"/>
      <c r="N898" s="30"/>
      <c r="O898" s="30"/>
      <c r="P898" s="30"/>
      <c r="Q898" s="30"/>
      <c r="R898" s="30"/>
      <c r="S898" s="30"/>
      <c r="T898" s="30"/>
      <c r="U898" s="30"/>
      <c r="V898" s="30"/>
      <c r="W898" s="30"/>
      <c r="X898" s="30"/>
      <c r="Y898" s="30"/>
      <c r="Z898" s="30"/>
      <c r="AA898" s="30"/>
      <c r="AB898" s="30"/>
      <c r="AC898" s="30"/>
      <c r="AD898" s="30"/>
      <c r="AE898" s="30"/>
      <c r="AF898" s="30"/>
      <c r="AG898" s="30"/>
      <c r="AH898" s="30"/>
      <c r="AI898" s="30"/>
      <c r="AJ898" s="30"/>
      <c r="AK898" s="30"/>
      <c r="AL898" s="30"/>
      <c r="AM898" s="30"/>
      <c r="AN898" s="30"/>
      <c r="AO898" s="30"/>
      <c r="AP898" s="30"/>
      <c r="AQ898" s="30"/>
      <c r="AR898" s="30"/>
      <c r="AS898" s="30"/>
      <c r="AT898" s="30"/>
    </row>
    <row r="899" ht="12.75" customHeight="1">
      <c r="A899" s="30"/>
      <c r="B899" s="30"/>
      <c r="C899" s="30"/>
      <c r="D899" s="30"/>
      <c r="E899" s="30"/>
      <c r="F899" s="30"/>
      <c r="G899" s="44"/>
      <c r="H899" s="30"/>
      <c r="I899" s="30"/>
      <c r="J899" s="30"/>
      <c r="K899" s="30"/>
      <c r="L899" s="30"/>
      <c r="M899" s="30"/>
      <c r="N899" s="30"/>
      <c r="O899" s="30"/>
      <c r="P899" s="30"/>
      <c r="Q899" s="30"/>
      <c r="R899" s="30"/>
      <c r="S899" s="30"/>
      <c r="T899" s="30"/>
      <c r="U899" s="30"/>
      <c r="V899" s="30"/>
      <c r="W899" s="30"/>
      <c r="X899" s="30"/>
      <c r="Y899" s="30"/>
      <c r="Z899" s="30"/>
      <c r="AA899" s="30"/>
      <c r="AB899" s="30"/>
      <c r="AC899" s="30"/>
      <c r="AD899" s="30"/>
      <c r="AE899" s="30"/>
      <c r="AF899" s="30"/>
      <c r="AG899" s="30"/>
      <c r="AH899" s="30"/>
      <c r="AI899" s="30"/>
      <c r="AJ899" s="30"/>
      <c r="AK899" s="30"/>
      <c r="AL899" s="30"/>
      <c r="AM899" s="30"/>
      <c r="AN899" s="30"/>
      <c r="AO899" s="30"/>
      <c r="AP899" s="30"/>
      <c r="AQ899" s="30"/>
      <c r="AR899" s="30"/>
      <c r="AS899" s="30"/>
      <c r="AT899" s="30"/>
    </row>
    <row r="900" ht="12.75" customHeight="1">
      <c r="A900" s="30"/>
      <c r="B900" s="30"/>
      <c r="C900" s="30"/>
      <c r="D900" s="30"/>
      <c r="E900" s="30"/>
      <c r="F900" s="30"/>
      <c r="G900" s="44"/>
      <c r="H900" s="30"/>
      <c r="I900" s="30"/>
      <c r="J900" s="30"/>
      <c r="K900" s="30"/>
      <c r="L900" s="30"/>
      <c r="M900" s="30"/>
      <c r="N900" s="30"/>
      <c r="O900" s="30"/>
      <c r="P900" s="30"/>
      <c r="Q900" s="30"/>
      <c r="R900" s="30"/>
      <c r="S900" s="30"/>
      <c r="T900" s="30"/>
      <c r="U900" s="30"/>
      <c r="V900" s="30"/>
      <c r="W900" s="30"/>
      <c r="X900" s="30"/>
      <c r="Y900" s="30"/>
      <c r="Z900" s="30"/>
      <c r="AA900" s="30"/>
      <c r="AB900" s="30"/>
      <c r="AC900" s="30"/>
      <c r="AD900" s="30"/>
      <c r="AE900" s="30"/>
      <c r="AF900" s="30"/>
      <c r="AG900" s="30"/>
      <c r="AH900" s="30"/>
      <c r="AI900" s="30"/>
      <c r="AJ900" s="30"/>
      <c r="AK900" s="30"/>
      <c r="AL900" s="30"/>
      <c r="AM900" s="30"/>
      <c r="AN900" s="30"/>
      <c r="AO900" s="30"/>
      <c r="AP900" s="30"/>
      <c r="AQ900" s="30"/>
      <c r="AR900" s="30"/>
      <c r="AS900" s="30"/>
      <c r="AT900" s="30"/>
    </row>
    <row r="901" ht="12.75" customHeight="1">
      <c r="A901" s="30"/>
      <c r="B901" s="30"/>
      <c r="C901" s="30"/>
      <c r="D901" s="30"/>
      <c r="E901" s="30"/>
      <c r="F901" s="30"/>
      <c r="G901" s="44"/>
      <c r="H901" s="30"/>
      <c r="I901" s="30"/>
      <c r="J901" s="30"/>
      <c r="K901" s="30"/>
      <c r="L901" s="30"/>
      <c r="M901" s="30"/>
      <c r="N901" s="30"/>
      <c r="O901" s="30"/>
      <c r="P901" s="30"/>
      <c r="Q901" s="30"/>
      <c r="R901" s="30"/>
      <c r="S901" s="30"/>
      <c r="T901" s="30"/>
      <c r="U901" s="30"/>
      <c r="V901" s="30"/>
      <c r="W901" s="30"/>
      <c r="X901" s="30"/>
      <c r="Y901" s="30"/>
      <c r="Z901" s="30"/>
      <c r="AA901" s="30"/>
      <c r="AB901" s="30"/>
      <c r="AC901" s="30"/>
      <c r="AD901" s="30"/>
      <c r="AE901" s="30"/>
      <c r="AF901" s="30"/>
      <c r="AG901" s="30"/>
      <c r="AH901" s="30"/>
      <c r="AI901" s="30"/>
      <c r="AJ901" s="30"/>
      <c r="AK901" s="30"/>
      <c r="AL901" s="30"/>
      <c r="AM901" s="30"/>
      <c r="AN901" s="30"/>
      <c r="AO901" s="30"/>
      <c r="AP901" s="30"/>
      <c r="AQ901" s="30"/>
      <c r="AR901" s="30"/>
      <c r="AS901" s="30"/>
      <c r="AT901" s="30"/>
    </row>
    <row r="902" ht="12.75" customHeight="1">
      <c r="A902" s="30"/>
      <c r="B902" s="30"/>
      <c r="C902" s="30"/>
      <c r="D902" s="30"/>
      <c r="E902" s="30"/>
      <c r="F902" s="30"/>
      <c r="G902" s="44"/>
      <c r="H902" s="30"/>
      <c r="I902" s="30"/>
      <c r="J902" s="30"/>
      <c r="K902" s="30"/>
      <c r="L902" s="30"/>
      <c r="M902" s="30"/>
      <c r="N902" s="30"/>
      <c r="O902" s="30"/>
      <c r="P902" s="30"/>
      <c r="Q902" s="30"/>
      <c r="R902" s="30"/>
      <c r="S902" s="30"/>
      <c r="T902" s="30"/>
      <c r="U902" s="30"/>
      <c r="V902" s="30"/>
      <c r="W902" s="30"/>
      <c r="X902" s="30"/>
      <c r="Y902" s="30"/>
      <c r="Z902" s="30"/>
      <c r="AA902" s="30"/>
      <c r="AB902" s="30"/>
      <c r="AC902" s="30"/>
      <c r="AD902" s="30"/>
      <c r="AE902" s="30"/>
      <c r="AF902" s="30"/>
      <c r="AG902" s="30"/>
      <c r="AH902" s="30"/>
      <c r="AI902" s="30"/>
      <c r="AJ902" s="30"/>
      <c r="AK902" s="30"/>
      <c r="AL902" s="30"/>
      <c r="AM902" s="30"/>
      <c r="AN902" s="30"/>
      <c r="AO902" s="30"/>
      <c r="AP902" s="30"/>
      <c r="AQ902" s="30"/>
      <c r="AR902" s="30"/>
      <c r="AS902" s="30"/>
      <c r="AT902" s="30"/>
    </row>
    <row r="903" ht="12.75" customHeight="1">
      <c r="A903" s="30"/>
      <c r="B903" s="30"/>
      <c r="C903" s="30"/>
      <c r="D903" s="30"/>
      <c r="E903" s="30"/>
      <c r="F903" s="30"/>
      <c r="G903" s="44"/>
      <c r="H903" s="30"/>
      <c r="I903" s="30"/>
      <c r="J903" s="30"/>
      <c r="K903" s="30"/>
      <c r="L903" s="30"/>
      <c r="M903" s="30"/>
      <c r="N903" s="30"/>
      <c r="O903" s="30"/>
      <c r="P903" s="30"/>
      <c r="Q903" s="30"/>
      <c r="R903" s="30"/>
      <c r="S903" s="30"/>
      <c r="T903" s="30"/>
      <c r="U903" s="30"/>
      <c r="V903" s="30"/>
      <c r="W903" s="30"/>
      <c r="X903" s="30"/>
      <c r="Y903" s="30"/>
      <c r="Z903" s="30"/>
      <c r="AA903" s="30"/>
      <c r="AB903" s="30"/>
      <c r="AC903" s="30"/>
      <c r="AD903" s="30"/>
      <c r="AE903" s="30"/>
      <c r="AF903" s="30"/>
      <c r="AG903" s="30"/>
      <c r="AH903" s="30"/>
      <c r="AI903" s="30"/>
      <c r="AJ903" s="30"/>
      <c r="AK903" s="30"/>
      <c r="AL903" s="30"/>
      <c r="AM903" s="30"/>
      <c r="AN903" s="30"/>
      <c r="AO903" s="30"/>
      <c r="AP903" s="30"/>
      <c r="AQ903" s="30"/>
      <c r="AR903" s="30"/>
      <c r="AS903" s="30"/>
      <c r="AT903" s="30"/>
    </row>
    <row r="904" ht="12.75" customHeight="1">
      <c r="A904" s="30"/>
      <c r="B904" s="30"/>
      <c r="C904" s="30"/>
      <c r="D904" s="30"/>
      <c r="E904" s="30"/>
      <c r="F904" s="30"/>
      <c r="G904" s="44"/>
      <c r="H904" s="30"/>
      <c r="I904" s="30"/>
      <c r="J904" s="30"/>
      <c r="K904" s="30"/>
      <c r="L904" s="30"/>
      <c r="M904" s="30"/>
      <c r="N904" s="30"/>
      <c r="O904" s="30"/>
      <c r="P904" s="30"/>
      <c r="Q904" s="30"/>
      <c r="R904" s="30"/>
      <c r="S904" s="30"/>
      <c r="T904" s="30"/>
      <c r="U904" s="30"/>
      <c r="V904" s="30"/>
      <c r="W904" s="30"/>
      <c r="X904" s="30"/>
      <c r="Y904" s="30"/>
      <c r="Z904" s="30"/>
      <c r="AA904" s="30"/>
      <c r="AB904" s="30"/>
      <c r="AC904" s="30"/>
      <c r="AD904" s="30"/>
      <c r="AE904" s="30"/>
      <c r="AF904" s="30"/>
      <c r="AG904" s="30"/>
      <c r="AH904" s="30"/>
      <c r="AI904" s="30"/>
      <c r="AJ904" s="30"/>
      <c r="AK904" s="30"/>
      <c r="AL904" s="30"/>
      <c r="AM904" s="30"/>
      <c r="AN904" s="30"/>
      <c r="AO904" s="30"/>
      <c r="AP904" s="30"/>
      <c r="AQ904" s="30"/>
      <c r="AR904" s="30"/>
      <c r="AS904" s="30"/>
      <c r="AT904" s="30"/>
    </row>
    <row r="905" ht="12.75" customHeight="1">
      <c r="A905" s="30"/>
      <c r="B905" s="30"/>
      <c r="C905" s="30"/>
      <c r="D905" s="30"/>
      <c r="E905" s="30"/>
      <c r="F905" s="30"/>
      <c r="G905" s="44"/>
      <c r="H905" s="30"/>
      <c r="I905" s="30"/>
      <c r="J905" s="30"/>
      <c r="K905" s="30"/>
      <c r="L905" s="30"/>
      <c r="M905" s="30"/>
      <c r="N905" s="30"/>
      <c r="O905" s="30"/>
      <c r="P905" s="30"/>
      <c r="Q905" s="30"/>
      <c r="R905" s="30"/>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c r="AQ905" s="30"/>
      <c r="AR905" s="30"/>
      <c r="AS905" s="30"/>
      <c r="AT905" s="30"/>
    </row>
    <row r="906" ht="12.75" customHeight="1">
      <c r="A906" s="30"/>
      <c r="B906" s="30"/>
      <c r="C906" s="30"/>
      <c r="D906" s="30"/>
      <c r="E906" s="30"/>
      <c r="F906" s="30"/>
      <c r="G906" s="44"/>
      <c r="H906" s="30"/>
      <c r="I906" s="30"/>
      <c r="J906" s="30"/>
      <c r="K906" s="30"/>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row>
    <row r="907" ht="12.75" customHeight="1">
      <c r="A907" s="30"/>
      <c r="B907" s="30"/>
      <c r="C907" s="30"/>
      <c r="D907" s="30"/>
      <c r="E907" s="30"/>
      <c r="F907" s="30"/>
      <c r="G907" s="44"/>
      <c r="H907" s="30"/>
      <c r="I907" s="30"/>
      <c r="J907" s="30"/>
      <c r="K907" s="30"/>
      <c r="L907" s="30"/>
      <c r="M907" s="30"/>
      <c r="N907" s="30"/>
      <c r="O907" s="30"/>
      <c r="P907" s="30"/>
      <c r="Q907" s="30"/>
      <c r="R907" s="30"/>
      <c r="S907" s="30"/>
      <c r="T907" s="30"/>
      <c r="U907" s="30"/>
      <c r="V907" s="30"/>
      <c r="W907" s="30"/>
      <c r="X907" s="30"/>
      <c r="Y907" s="30"/>
      <c r="Z907" s="30"/>
      <c r="AA907" s="30"/>
      <c r="AB907" s="30"/>
      <c r="AC907" s="30"/>
      <c r="AD907" s="30"/>
      <c r="AE907" s="30"/>
      <c r="AF907" s="30"/>
      <c r="AG907" s="30"/>
      <c r="AH907" s="30"/>
      <c r="AI907" s="30"/>
      <c r="AJ907" s="30"/>
      <c r="AK907" s="30"/>
      <c r="AL907" s="30"/>
      <c r="AM907" s="30"/>
      <c r="AN907" s="30"/>
      <c r="AO907" s="30"/>
      <c r="AP907" s="30"/>
      <c r="AQ907" s="30"/>
      <c r="AR907" s="30"/>
      <c r="AS907" s="30"/>
      <c r="AT907" s="30"/>
    </row>
    <row r="908" ht="12.75" customHeight="1">
      <c r="A908" s="30"/>
      <c r="B908" s="30"/>
      <c r="C908" s="30"/>
      <c r="D908" s="30"/>
      <c r="E908" s="30"/>
      <c r="F908" s="30"/>
      <c r="G908" s="44"/>
      <c r="H908" s="30"/>
      <c r="I908" s="30"/>
      <c r="J908" s="30"/>
      <c r="K908" s="30"/>
      <c r="L908" s="30"/>
      <c r="M908" s="30"/>
      <c r="N908" s="30"/>
      <c r="O908" s="30"/>
      <c r="P908" s="30"/>
      <c r="Q908" s="30"/>
      <c r="R908" s="30"/>
      <c r="S908" s="30"/>
      <c r="T908" s="30"/>
      <c r="U908" s="30"/>
      <c r="V908" s="30"/>
      <c r="W908" s="30"/>
      <c r="X908" s="30"/>
      <c r="Y908" s="30"/>
      <c r="Z908" s="30"/>
      <c r="AA908" s="30"/>
      <c r="AB908" s="30"/>
      <c r="AC908" s="30"/>
      <c r="AD908" s="30"/>
      <c r="AE908" s="30"/>
      <c r="AF908" s="30"/>
      <c r="AG908" s="30"/>
      <c r="AH908" s="30"/>
      <c r="AI908" s="30"/>
      <c r="AJ908" s="30"/>
      <c r="AK908" s="30"/>
      <c r="AL908" s="30"/>
      <c r="AM908" s="30"/>
      <c r="AN908" s="30"/>
      <c r="AO908" s="30"/>
      <c r="AP908" s="30"/>
      <c r="AQ908" s="30"/>
      <c r="AR908" s="30"/>
      <c r="AS908" s="30"/>
      <c r="AT908" s="30"/>
    </row>
    <row r="909" ht="12.75" customHeight="1">
      <c r="A909" s="30"/>
      <c r="B909" s="30"/>
      <c r="C909" s="30"/>
      <c r="D909" s="30"/>
      <c r="E909" s="30"/>
      <c r="F909" s="30"/>
      <c r="G909" s="44"/>
      <c r="H909" s="30"/>
      <c r="I909" s="30"/>
      <c r="J909" s="30"/>
      <c r="K909" s="30"/>
      <c r="L909" s="30"/>
      <c r="M909" s="30"/>
      <c r="N909" s="30"/>
      <c r="O909" s="30"/>
      <c r="P909" s="30"/>
      <c r="Q909" s="30"/>
      <c r="R909" s="30"/>
      <c r="S909" s="30"/>
      <c r="T909" s="30"/>
      <c r="U909" s="30"/>
      <c r="V909" s="30"/>
      <c r="W909" s="30"/>
      <c r="X909" s="30"/>
      <c r="Y909" s="30"/>
      <c r="Z909" s="30"/>
      <c r="AA909" s="30"/>
      <c r="AB909" s="30"/>
      <c r="AC909" s="30"/>
      <c r="AD909" s="30"/>
      <c r="AE909" s="30"/>
      <c r="AF909" s="30"/>
      <c r="AG909" s="30"/>
      <c r="AH909" s="30"/>
      <c r="AI909" s="30"/>
      <c r="AJ909" s="30"/>
      <c r="AK909" s="30"/>
      <c r="AL909" s="30"/>
      <c r="AM909" s="30"/>
      <c r="AN909" s="30"/>
      <c r="AO909" s="30"/>
      <c r="AP909" s="30"/>
      <c r="AQ909" s="30"/>
      <c r="AR909" s="30"/>
      <c r="AS909" s="30"/>
      <c r="AT909" s="30"/>
    </row>
    <row r="910" ht="12.75" customHeight="1">
      <c r="A910" s="30"/>
      <c r="B910" s="30"/>
      <c r="C910" s="30"/>
      <c r="D910" s="30"/>
      <c r="E910" s="30"/>
      <c r="F910" s="30"/>
      <c r="G910" s="44"/>
      <c r="H910" s="30"/>
      <c r="I910" s="30"/>
      <c r="J910" s="30"/>
      <c r="K910" s="30"/>
      <c r="L910" s="30"/>
      <c r="M910" s="30"/>
      <c r="N910" s="30"/>
      <c r="O910" s="30"/>
      <c r="P910" s="30"/>
      <c r="Q910" s="30"/>
      <c r="R910" s="30"/>
      <c r="S910" s="30"/>
      <c r="T910" s="30"/>
      <c r="U910" s="30"/>
      <c r="V910" s="30"/>
      <c r="W910" s="30"/>
      <c r="X910" s="30"/>
      <c r="Y910" s="30"/>
      <c r="Z910" s="30"/>
      <c r="AA910" s="30"/>
      <c r="AB910" s="30"/>
      <c r="AC910" s="30"/>
      <c r="AD910" s="30"/>
      <c r="AE910" s="30"/>
      <c r="AF910" s="30"/>
      <c r="AG910" s="30"/>
      <c r="AH910" s="30"/>
      <c r="AI910" s="30"/>
      <c r="AJ910" s="30"/>
      <c r="AK910" s="30"/>
      <c r="AL910" s="30"/>
      <c r="AM910" s="30"/>
      <c r="AN910" s="30"/>
      <c r="AO910" s="30"/>
      <c r="AP910" s="30"/>
      <c r="AQ910" s="30"/>
      <c r="AR910" s="30"/>
      <c r="AS910" s="30"/>
      <c r="AT910" s="30"/>
    </row>
    <row r="911" ht="12.75" customHeight="1">
      <c r="A911" s="30"/>
      <c r="B911" s="30"/>
      <c r="C911" s="30"/>
      <c r="D911" s="30"/>
      <c r="E911" s="30"/>
      <c r="F911" s="30"/>
      <c r="G911" s="44"/>
      <c r="H911" s="30"/>
      <c r="I911" s="30"/>
      <c r="J911" s="30"/>
      <c r="K911" s="30"/>
      <c r="L911" s="30"/>
      <c r="M911" s="30"/>
      <c r="N911" s="30"/>
      <c r="O911" s="30"/>
      <c r="P911" s="30"/>
      <c r="Q911" s="30"/>
      <c r="R911" s="30"/>
      <c r="S911" s="30"/>
      <c r="T911" s="30"/>
      <c r="U911" s="30"/>
      <c r="V911" s="30"/>
      <c r="W911" s="30"/>
      <c r="X911" s="30"/>
      <c r="Y911" s="30"/>
      <c r="Z911" s="30"/>
      <c r="AA911" s="30"/>
      <c r="AB911" s="30"/>
      <c r="AC911" s="30"/>
      <c r="AD911" s="30"/>
      <c r="AE911" s="30"/>
      <c r="AF911" s="30"/>
      <c r="AG911" s="30"/>
      <c r="AH911" s="30"/>
      <c r="AI911" s="30"/>
      <c r="AJ911" s="30"/>
      <c r="AK911" s="30"/>
      <c r="AL911" s="30"/>
      <c r="AM911" s="30"/>
      <c r="AN911" s="30"/>
      <c r="AO911" s="30"/>
      <c r="AP911" s="30"/>
      <c r="AQ911" s="30"/>
      <c r="AR911" s="30"/>
      <c r="AS911" s="30"/>
      <c r="AT911" s="30"/>
    </row>
    <row r="912" ht="12.75" customHeight="1">
      <c r="A912" s="30"/>
      <c r="B912" s="30"/>
      <c r="C912" s="30"/>
      <c r="D912" s="30"/>
      <c r="E912" s="30"/>
      <c r="F912" s="30"/>
      <c r="G912" s="44"/>
      <c r="H912" s="30"/>
      <c r="I912" s="30"/>
      <c r="J912" s="30"/>
      <c r="K912" s="30"/>
      <c r="L912" s="30"/>
      <c r="M912" s="30"/>
      <c r="N912" s="30"/>
      <c r="O912" s="30"/>
      <c r="P912" s="30"/>
      <c r="Q912" s="30"/>
      <c r="R912" s="30"/>
      <c r="S912" s="30"/>
      <c r="T912" s="30"/>
      <c r="U912" s="30"/>
      <c r="V912" s="30"/>
      <c r="W912" s="30"/>
      <c r="X912" s="30"/>
      <c r="Y912" s="30"/>
      <c r="Z912" s="30"/>
      <c r="AA912" s="30"/>
      <c r="AB912" s="30"/>
      <c r="AC912" s="30"/>
      <c r="AD912" s="30"/>
      <c r="AE912" s="30"/>
      <c r="AF912" s="30"/>
      <c r="AG912" s="30"/>
      <c r="AH912" s="30"/>
      <c r="AI912" s="30"/>
      <c r="AJ912" s="30"/>
      <c r="AK912" s="30"/>
      <c r="AL912" s="30"/>
      <c r="AM912" s="30"/>
      <c r="AN912" s="30"/>
      <c r="AO912" s="30"/>
      <c r="AP912" s="30"/>
      <c r="AQ912" s="30"/>
      <c r="AR912" s="30"/>
      <c r="AS912" s="30"/>
      <c r="AT912" s="30"/>
    </row>
    <row r="913" ht="12.75" customHeight="1">
      <c r="A913" s="30"/>
      <c r="B913" s="30"/>
      <c r="C913" s="30"/>
      <c r="D913" s="30"/>
      <c r="E913" s="30"/>
      <c r="F913" s="30"/>
      <c r="G913" s="44"/>
      <c r="H913" s="30"/>
      <c r="I913" s="30"/>
      <c r="J913" s="30"/>
      <c r="K913" s="30"/>
      <c r="L913" s="30"/>
      <c r="M913" s="30"/>
      <c r="N913" s="30"/>
      <c r="O913" s="30"/>
      <c r="P913" s="30"/>
      <c r="Q913" s="30"/>
      <c r="R913" s="30"/>
      <c r="S913" s="30"/>
      <c r="T913" s="30"/>
      <c r="U913" s="30"/>
      <c r="V913" s="30"/>
      <c r="W913" s="30"/>
      <c r="X913" s="30"/>
      <c r="Y913" s="30"/>
      <c r="Z913" s="30"/>
      <c r="AA913" s="30"/>
      <c r="AB913" s="30"/>
      <c r="AC913" s="30"/>
      <c r="AD913" s="30"/>
      <c r="AE913" s="30"/>
      <c r="AF913" s="30"/>
      <c r="AG913" s="30"/>
      <c r="AH913" s="30"/>
      <c r="AI913" s="30"/>
      <c r="AJ913" s="30"/>
      <c r="AK913" s="30"/>
      <c r="AL913" s="30"/>
      <c r="AM913" s="30"/>
      <c r="AN913" s="30"/>
      <c r="AO913" s="30"/>
      <c r="AP913" s="30"/>
      <c r="AQ913" s="30"/>
      <c r="AR913" s="30"/>
      <c r="AS913" s="30"/>
      <c r="AT913" s="30"/>
    </row>
    <row r="914" ht="12.75" customHeight="1">
      <c r="A914" s="30"/>
      <c r="B914" s="30"/>
      <c r="C914" s="30"/>
      <c r="D914" s="30"/>
      <c r="E914" s="30"/>
      <c r="F914" s="30"/>
      <c r="G914" s="44"/>
      <c r="H914" s="30"/>
      <c r="I914" s="30"/>
      <c r="J914" s="30"/>
      <c r="K914" s="30"/>
      <c r="L914" s="30"/>
      <c r="M914" s="30"/>
      <c r="N914" s="30"/>
      <c r="O914" s="30"/>
      <c r="P914" s="30"/>
      <c r="Q914" s="30"/>
      <c r="R914" s="30"/>
      <c r="S914" s="30"/>
      <c r="T914" s="30"/>
      <c r="U914" s="30"/>
      <c r="V914" s="30"/>
      <c r="W914" s="30"/>
      <c r="X914" s="30"/>
      <c r="Y914" s="30"/>
      <c r="Z914" s="30"/>
      <c r="AA914" s="30"/>
      <c r="AB914" s="30"/>
      <c r="AC914" s="30"/>
      <c r="AD914" s="30"/>
      <c r="AE914" s="30"/>
      <c r="AF914" s="30"/>
      <c r="AG914" s="30"/>
      <c r="AH914" s="30"/>
      <c r="AI914" s="30"/>
      <c r="AJ914" s="30"/>
      <c r="AK914" s="30"/>
      <c r="AL914" s="30"/>
      <c r="AM914" s="30"/>
      <c r="AN914" s="30"/>
      <c r="AO914" s="30"/>
      <c r="AP914" s="30"/>
      <c r="AQ914" s="30"/>
      <c r="AR914" s="30"/>
      <c r="AS914" s="30"/>
      <c r="AT914" s="30"/>
    </row>
    <row r="915" ht="12.75" customHeight="1">
      <c r="A915" s="30"/>
      <c r="B915" s="30"/>
      <c r="C915" s="30"/>
      <c r="D915" s="30"/>
      <c r="E915" s="30"/>
      <c r="F915" s="30"/>
      <c r="G915" s="44"/>
      <c r="H915" s="30"/>
      <c r="I915" s="30"/>
      <c r="J915" s="30"/>
      <c r="K915" s="30"/>
      <c r="L915" s="30"/>
      <c r="M915" s="30"/>
      <c r="N915" s="30"/>
      <c r="O915" s="30"/>
      <c r="P915" s="30"/>
      <c r="Q915" s="30"/>
      <c r="R915" s="30"/>
      <c r="S915" s="30"/>
      <c r="T915" s="30"/>
      <c r="U915" s="30"/>
      <c r="V915" s="30"/>
      <c r="W915" s="30"/>
      <c r="X915" s="30"/>
      <c r="Y915" s="30"/>
      <c r="Z915" s="30"/>
      <c r="AA915" s="30"/>
      <c r="AB915" s="30"/>
      <c r="AC915" s="30"/>
      <c r="AD915" s="30"/>
      <c r="AE915" s="30"/>
      <c r="AF915" s="30"/>
      <c r="AG915" s="30"/>
      <c r="AH915" s="30"/>
      <c r="AI915" s="30"/>
      <c r="AJ915" s="30"/>
      <c r="AK915" s="30"/>
      <c r="AL915" s="30"/>
      <c r="AM915" s="30"/>
      <c r="AN915" s="30"/>
      <c r="AO915" s="30"/>
      <c r="AP915" s="30"/>
      <c r="AQ915" s="30"/>
      <c r="AR915" s="30"/>
      <c r="AS915" s="30"/>
      <c r="AT915" s="30"/>
    </row>
    <row r="916" ht="12.75" customHeight="1">
      <c r="A916" s="30"/>
      <c r="B916" s="30"/>
      <c r="C916" s="30"/>
      <c r="D916" s="30"/>
      <c r="E916" s="30"/>
      <c r="F916" s="30"/>
      <c r="G916" s="44"/>
      <c r="H916" s="30"/>
      <c r="I916" s="30"/>
      <c r="J916" s="30"/>
      <c r="K916" s="30"/>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row>
    <row r="917" ht="12.75" customHeight="1">
      <c r="A917" s="30"/>
      <c r="B917" s="30"/>
      <c r="C917" s="30"/>
      <c r="D917" s="30"/>
      <c r="E917" s="30"/>
      <c r="F917" s="30"/>
      <c r="G917" s="44"/>
      <c r="H917" s="30"/>
      <c r="I917" s="30"/>
      <c r="J917" s="30"/>
      <c r="K917" s="30"/>
      <c r="L917" s="30"/>
      <c r="M917" s="30"/>
      <c r="N917" s="30"/>
      <c r="O917" s="30"/>
      <c r="P917" s="30"/>
      <c r="Q917" s="30"/>
      <c r="R917" s="30"/>
      <c r="S917" s="30"/>
      <c r="T917" s="30"/>
      <c r="U917" s="30"/>
      <c r="V917" s="30"/>
      <c r="W917" s="30"/>
      <c r="X917" s="30"/>
      <c r="Y917" s="30"/>
      <c r="Z917" s="30"/>
      <c r="AA917" s="30"/>
      <c r="AB917" s="30"/>
      <c r="AC917" s="30"/>
      <c r="AD917" s="30"/>
      <c r="AE917" s="30"/>
      <c r="AF917" s="30"/>
      <c r="AG917" s="30"/>
      <c r="AH917" s="30"/>
      <c r="AI917" s="30"/>
      <c r="AJ917" s="30"/>
      <c r="AK917" s="30"/>
      <c r="AL917" s="30"/>
      <c r="AM917" s="30"/>
      <c r="AN917" s="30"/>
      <c r="AO917" s="30"/>
      <c r="AP917" s="30"/>
      <c r="AQ917" s="30"/>
      <c r="AR917" s="30"/>
      <c r="AS917" s="30"/>
      <c r="AT917" s="30"/>
    </row>
    <row r="918" ht="12.75" customHeight="1">
      <c r="A918" s="30"/>
      <c r="B918" s="30"/>
      <c r="C918" s="30"/>
      <c r="D918" s="30"/>
      <c r="E918" s="30"/>
      <c r="F918" s="30"/>
      <c r="G918" s="44"/>
      <c r="H918" s="30"/>
      <c r="I918" s="30"/>
      <c r="J918" s="30"/>
      <c r="K918" s="30"/>
      <c r="L918" s="30"/>
      <c r="M918" s="30"/>
      <c r="N918" s="30"/>
      <c r="O918" s="30"/>
      <c r="P918" s="30"/>
      <c r="Q918" s="30"/>
      <c r="R918" s="30"/>
      <c r="S918" s="30"/>
      <c r="T918" s="30"/>
      <c r="U918" s="30"/>
      <c r="V918" s="30"/>
      <c r="W918" s="30"/>
      <c r="X918" s="30"/>
      <c r="Y918" s="30"/>
      <c r="Z918" s="30"/>
      <c r="AA918" s="30"/>
      <c r="AB918" s="30"/>
      <c r="AC918" s="30"/>
      <c r="AD918" s="30"/>
      <c r="AE918" s="30"/>
      <c r="AF918" s="30"/>
      <c r="AG918" s="30"/>
      <c r="AH918" s="30"/>
      <c r="AI918" s="30"/>
      <c r="AJ918" s="30"/>
      <c r="AK918" s="30"/>
      <c r="AL918" s="30"/>
      <c r="AM918" s="30"/>
      <c r="AN918" s="30"/>
      <c r="AO918" s="30"/>
      <c r="AP918" s="30"/>
      <c r="AQ918" s="30"/>
      <c r="AR918" s="30"/>
      <c r="AS918" s="30"/>
      <c r="AT918" s="30"/>
    </row>
    <row r="919" ht="12.75" customHeight="1">
      <c r="A919" s="30"/>
      <c r="B919" s="30"/>
      <c r="C919" s="30"/>
      <c r="D919" s="30"/>
      <c r="E919" s="30"/>
      <c r="F919" s="30"/>
      <c r="G919" s="44"/>
      <c r="H919" s="30"/>
      <c r="I919" s="30"/>
      <c r="J919" s="30"/>
      <c r="K919" s="30"/>
      <c r="L919" s="30"/>
      <c r="M919" s="30"/>
      <c r="N919" s="30"/>
      <c r="O919" s="30"/>
      <c r="P919" s="30"/>
      <c r="Q919" s="30"/>
      <c r="R919" s="30"/>
      <c r="S919" s="30"/>
      <c r="T919" s="30"/>
      <c r="U919" s="30"/>
      <c r="V919" s="30"/>
      <c r="W919" s="30"/>
      <c r="X919" s="30"/>
      <c r="Y919" s="30"/>
      <c r="Z919" s="30"/>
      <c r="AA919" s="30"/>
      <c r="AB919" s="30"/>
      <c r="AC919" s="30"/>
      <c r="AD919" s="30"/>
      <c r="AE919" s="30"/>
      <c r="AF919" s="30"/>
      <c r="AG919" s="30"/>
      <c r="AH919" s="30"/>
      <c r="AI919" s="30"/>
      <c r="AJ919" s="30"/>
      <c r="AK919" s="30"/>
      <c r="AL919" s="30"/>
      <c r="AM919" s="30"/>
      <c r="AN919" s="30"/>
      <c r="AO919" s="30"/>
      <c r="AP919" s="30"/>
      <c r="AQ919" s="30"/>
      <c r="AR919" s="30"/>
      <c r="AS919" s="30"/>
      <c r="AT919" s="30"/>
    </row>
    <row r="920" ht="12.75" customHeight="1">
      <c r="A920" s="30"/>
      <c r="B920" s="30"/>
      <c r="C920" s="30"/>
      <c r="D920" s="30"/>
      <c r="E920" s="30"/>
      <c r="F920" s="30"/>
      <c r="G920" s="44"/>
      <c r="H920" s="30"/>
      <c r="I920" s="30"/>
      <c r="J920" s="30"/>
      <c r="K920" s="30"/>
      <c r="L920" s="30"/>
      <c r="M920" s="30"/>
      <c r="N920" s="30"/>
      <c r="O920" s="30"/>
      <c r="P920" s="30"/>
      <c r="Q920" s="30"/>
      <c r="R920" s="30"/>
      <c r="S920" s="30"/>
      <c r="T920" s="30"/>
      <c r="U920" s="30"/>
      <c r="V920" s="30"/>
      <c r="W920" s="30"/>
      <c r="X920" s="30"/>
      <c r="Y920" s="30"/>
      <c r="Z920" s="30"/>
      <c r="AA920" s="30"/>
      <c r="AB920" s="30"/>
      <c r="AC920" s="30"/>
      <c r="AD920" s="30"/>
      <c r="AE920" s="30"/>
      <c r="AF920" s="30"/>
      <c r="AG920" s="30"/>
      <c r="AH920" s="30"/>
      <c r="AI920" s="30"/>
      <c r="AJ920" s="30"/>
      <c r="AK920" s="30"/>
      <c r="AL920" s="30"/>
      <c r="AM920" s="30"/>
      <c r="AN920" s="30"/>
      <c r="AO920" s="30"/>
      <c r="AP920" s="30"/>
      <c r="AQ920" s="30"/>
      <c r="AR920" s="30"/>
      <c r="AS920" s="30"/>
      <c r="AT920" s="30"/>
    </row>
    <row r="921" ht="12.75" customHeight="1">
      <c r="A921" s="30"/>
      <c r="B921" s="30"/>
      <c r="C921" s="30"/>
      <c r="D921" s="30"/>
      <c r="E921" s="30"/>
      <c r="F921" s="30"/>
      <c r="G921" s="44"/>
      <c r="H921" s="30"/>
      <c r="I921" s="30"/>
      <c r="J921" s="30"/>
      <c r="K921" s="30"/>
      <c r="L921" s="30"/>
      <c r="M921" s="30"/>
      <c r="N921" s="30"/>
      <c r="O921" s="30"/>
      <c r="P921" s="30"/>
      <c r="Q921" s="30"/>
      <c r="R921" s="30"/>
      <c r="S921" s="30"/>
      <c r="T921" s="30"/>
      <c r="U921" s="30"/>
      <c r="V921" s="30"/>
      <c r="W921" s="30"/>
      <c r="X921" s="30"/>
      <c r="Y921" s="30"/>
      <c r="Z921" s="30"/>
      <c r="AA921" s="30"/>
      <c r="AB921" s="30"/>
      <c r="AC921" s="30"/>
      <c r="AD921" s="30"/>
      <c r="AE921" s="30"/>
      <c r="AF921" s="30"/>
      <c r="AG921" s="30"/>
      <c r="AH921" s="30"/>
      <c r="AI921" s="30"/>
      <c r="AJ921" s="30"/>
      <c r="AK921" s="30"/>
      <c r="AL921" s="30"/>
      <c r="AM921" s="30"/>
      <c r="AN921" s="30"/>
      <c r="AO921" s="30"/>
      <c r="AP921" s="30"/>
      <c r="AQ921" s="30"/>
      <c r="AR921" s="30"/>
      <c r="AS921" s="30"/>
      <c r="AT921" s="30"/>
    </row>
    <row r="922" ht="12.75" customHeight="1">
      <c r="A922" s="30"/>
      <c r="B922" s="30"/>
      <c r="C922" s="30"/>
      <c r="D922" s="30"/>
      <c r="E922" s="30"/>
      <c r="F922" s="30"/>
      <c r="G922" s="44"/>
      <c r="H922" s="30"/>
      <c r="I922" s="30"/>
      <c r="J922" s="30"/>
      <c r="K922" s="30"/>
      <c r="L922" s="30"/>
      <c r="M922" s="30"/>
      <c r="N922" s="30"/>
      <c r="O922" s="30"/>
      <c r="P922" s="30"/>
      <c r="Q922" s="30"/>
      <c r="R922" s="30"/>
      <c r="S922" s="30"/>
      <c r="T922" s="30"/>
      <c r="U922" s="30"/>
      <c r="V922" s="30"/>
      <c r="W922" s="30"/>
      <c r="X922" s="30"/>
      <c r="Y922" s="30"/>
      <c r="Z922" s="30"/>
      <c r="AA922" s="30"/>
      <c r="AB922" s="30"/>
      <c r="AC922" s="30"/>
      <c r="AD922" s="30"/>
      <c r="AE922" s="30"/>
      <c r="AF922" s="30"/>
      <c r="AG922" s="30"/>
      <c r="AH922" s="30"/>
      <c r="AI922" s="30"/>
      <c r="AJ922" s="30"/>
      <c r="AK922" s="30"/>
      <c r="AL922" s="30"/>
      <c r="AM922" s="30"/>
      <c r="AN922" s="30"/>
      <c r="AO922" s="30"/>
      <c r="AP922" s="30"/>
      <c r="AQ922" s="30"/>
      <c r="AR922" s="30"/>
      <c r="AS922" s="30"/>
      <c r="AT922" s="30"/>
    </row>
    <row r="923" ht="12.75" customHeight="1">
      <c r="A923" s="30"/>
      <c r="B923" s="30"/>
      <c r="C923" s="30"/>
      <c r="D923" s="30"/>
      <c r="E923" s="30"/>
      <c r="F923" s="30"/>
      <c r="G923" s="44"/>
      <c r="H923" s="30"/>
      <c r="I923" s="30"/>
      <c r="J923" s="30"/>
      <c r="K923" s="30"/>
      <c r="L923" s="30"/>
      <c r="M923" s="30"/>
      <c r="N923" s="30"/>
      <c r="O923" s="30"/>
      <c r="P923" s="30"/>
      <c r="Q923" s="30"/>
      <c r="R923" s="30"/>
      <c r="S923" s="30"/>
      <c r="T923" s="30"/>
      <c r="U923" s="30"/>
      <c r="V923" s="30"/>
      <c r="W923" s="30"/>
      <c r="X923" s="30"/>
      <c r="Y923" s="30"/>
      <c r="Z923" s="30"/>
      <c r="AA923" s="30"/>
      <c r="AB923" s="30"/>
      <c r="AC923" s="30"/>
      <c r="AD923" s="30"/>
      <c r="AE923" s="30"/>
      <c r="AF923" s="30"/>
      <c r="AG923" s="30"/>
      <c r="AH923" s="30"/>
      <c r="AI923" s="30"/>
      <c r="AJ923" s="30"/>
      <c r="AK923" s="30"/>
      <c r="AL923" s="30"/>
      <c r="AM923" s="30"/>
      <c r="AN923" s="30"/>
      <c r="AO923" s="30"/>
      <c r="AP923" s="30"/>
      <c r="AQ923" s="30"/>
      <c r="AR923" s="30"/>
      <c r="AS923" s="30"/>
      <c r="AT923" s="30"/>
    </row>
    <row r="924" ht="12.75" customHeight="1">
      <c r="A924" s="30"/>
      <c r="B924" s="30"/>
      <c r="C924" s="30"/>
      <c r="D924" s="30"/>
      <c r="E924" s="30"/>
      <c r="F924" s="30"/>
      <c r="G924" s="44"/>
      <c r="H924" s="30"/>
      <c r="I924" s="30"/>
      <c r="J924" s="30"/>
      <c r="K924" s="30"/>
      <c r="L924" s="30"/>
      <c r="M924" s="30"/>
      <c r="N924" s="30"/>
      <c r="O924" s="30"/>
      <c r="P924" s="30"/>
      <c r="Q924" s="30"/>
      <c r="R924" s="30"/>
      <c r="S924" s="30"/>
      <c r="T924" s="30"/>
      <c r="U924" s="30"/>
      <c r="V924" s="30"/>
      <c r="W924" s="30"/>
      <c r="X924" s="30"/>
      <c r="Y924" s="30"/>
      <c r="Z924" s="30"/>
      <c r="AA924" s="30"/>
      <c r="AB924" s="30"/>
      <c r="AC924" s="30"/>
      <c r="AD924" s="30"/>
      <c r="AE924" s="30"/>
      <c r="AF924" s="30"/>
      <c r="AG924" s="30"/>
      <c r="AH924" s="30"/>
      <c r="AI924" s="30"/>
      <c r="AJ924" s="30"/>
      <c r="AK924" s="30"/>
      <c r="AL924" s="30"/>
      <c r="AM924" s="30"/>
      <c r="AN924" s="30"/>
      <c r="AO924" s="30"/>
      <c r="AP924" s="30"/>
      <c r="AQ924" s="30"/>
      <c r="AR924" s="30"/>
      <c r="AS924" s="30"/>
      <c r="AT924" s="30"/>
    </row>
    <row r="925" ht="12.75" customHeight="1">
      <c r="A925" s="30"/>
      <c r="B925" s="30"/>
      <c r="C925" s="30"/>
      <c r="D925" s="30"/>
      <c r="E925" s="30"/>
      <c r="F925" s="30"/>
      <c r="G925" s="44"/>
      <c r="H925" s="30"/>
      <c r="I925" s="30"/>
      <c r="J925" s="30"/>
      <c r="K925" s="30"/>
      <c r="L925" s="30"/>
      <c r="M925" s="30"/>
      <c r="N925" s="30"/>
      <c r="O925" s="30"/>
      <c r="P925" s="30"/>
      <c r="Q925" s="30"/>
      <c r="R925" s="30"/>
      <c r="S925" s="30"/>
      <c r="T925" s="30"/>
      <c r="U925" s="30"/>
      <c r="V925" s="30"/>
      <c r="W925" s="30"/>
      <c r="X925" s="30"/>
      <c r="Y925" s="30"/>
      <c r="Z925" s="30"/>
      <c r="AA925" s="30"/>
      <c r="AB925" s="30"/>
      <c r="AC925" s="30"/>
      <c r="AD925" s="30"/>
      <c r="AE925" s="30"/>
      <c r="AF925" s="30"/>
      <c r="AG925" s="30"/>
      <c r="AH925" s="30"/>
      <c r="AI925" s="30"/>
      <c r="AJ925" s="30"/>
      <c r="AK925" s="30"/>
      <c r="AL925" s="30"/>
      <c r="AM925" s="30"/>
      <c r="AN925" s="30"/>
      <c r="AO925" s="30"/>
      <c r="AP925" s="30"/>
      <c r="AQ925" s="30"/>
      <c r="AR925" s="30"/>
      <c r="AS925" s="30"/>
      <c r="AT925" s="30"/>
    </row>
    <row r="926" ht="12.75" customHeight="1">
      <c r="A926" s="30"/>
      <c r="B926" s="30"/>
      <c r="C926" s="30"/>
      <c r="D926" s="30"/>
      <c r="E926" s="30"/>
      <c r="F926" s="30"/>
      <c r="G926" s="44"/>
      <c r="H926" s="30"/>
      <c r="I926" s="30"/>
      <c r="J926" s="30"/>
      <c r="K926" s="30"/>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row>
    <row r="927" ht="12.75" customHeight="1">
      <c r="A927" s="30"/>
      <c r="B927" s="30"/>
      <c r="C927" s="30"/>
      <c r="D927" s="30"/>
      <c r="E927" s="30"/>
      <c r="F927" s="30"/>
      <c r="G927" s="44"/>
      <c r="H927" s="30"/>
      <c r="I927" s="30"/>
      <c r="J927" s="30"/>
      <c r="K927" s="30"/>
      <c r="L927" s="30"/>
      <c r="M927" s="30"/>
      <c r="N927" s="30"/>
      <c r="O927" s="30"/>
      <c r="P927" s="30"/>
      <c r="Q927" s="30"/>
      <c r="R927" s="30"/>
      <c r="S927" s="30"/>
      <c r="T927" s="30"/>
      <c r="U927" s="30"/>
      <c r="V927" s="30"/>
      <c r="W927" s="30"/>
      <c r="X927" s="30"/>
      <c r="Y927" s="30"/>
      <c r="Z927" s="30"/>
      <c r="AA927" s="30"/>
      <c r="AB927" s="30"/>
      <c r="AC927" s="30"/>
      <c r="AD927" s="30"/>
      <c r="AE927" s="30"/>
      <c r="AF927" s="30"/>
      <c r="AG927" s="30"/>
      <c r="AH927" s="30"/>
      <c r="AI927" s="30"/>
      <c r="AJ927" s="30"/>
      <c r="AK927" s="30"/>
      <c r="AL927" s="30"/>
      <c r="AM927" s="30"/>
      <c r="AN927" s="30"/>
      <c r="AO927" s="30"/>
      <c r="AP927" s="30"/>
      <c r="AQ927" s="30"/>
      <c r="AR927" s="30"/>
      <c r="AS927" s="30"/>
      <c r="AT927" s="30"/>
    </row>
    <row r="928" ht="12.75" customHeight="1">
      <c r="A928" s="30"/>
      <c r="B928" s="30"/>
      <c r="C928" s="30"/>
      <c r="D928" s="30"/>
      <c r="E928" s="30"/>
      <c r="F928" s="30"/>
      <c r="G928" s="44"/>
      <c r="H928" s="30"/>
      <c r="I928" s="30"/>
      <c r="J928" s="30"/>
      <c r="K928" s="30"/>
      <c r="L928" s="30"/>
      <c r="M928" s="30"/>
      <c r="N928" s="30"/>
      <c r="O928" s="30"/>
      <c r="P928" s="30"/>
      <c r="Q928" s="30"/>
      <c r="R928" s="30"/>
      <c r="S928" s="30"/>
      <c r="T928" s="30"/>
      <c r="U928" s="30"/>
      <c r="V928" s="30"/>
      <c r="W928" s="30"/>
      <c r="X928" s="30"/>
      <c r="Y928" s="30"/>
      <c r="Z928" s="30"/>
      <c r="AA928" s="30"/>
      <c r="AB928" s="30"/>
      <c r="AC928" s="30"/>
      <c r="AD928" s="30"/>
      <c r="AE928" s="30"/>
      <c r="AF928" s="30"/>
      <c r="AG928" s="30"/>
      <c r="AH928" s="30"/>
      <c r="AI928" s="30"/>
      <c r="AJ928" s="30"/>
      <c r="AK928" s="30"/>
      <c r="AL928" s="30"/>
      <c r="AM928" s="30"/>
      <c r="AN928" s="30"/>
      <c r="AO928" s="30"/>
      <c r="AP928" s="30"/>
      <c r="AQ928" s="30"/>
      <c r="AR928" s="30"/>
      <c r="AS928" s="30"/>
      <c r="AT928" s="30"/>
    </row>
    <row r="929" ht="12.75" customHeight="1">
      <c r="A929" s="30"/>
      <c r="B929" s="30"/>
      <c r="C929" s="30"/>
      <c r="D929" s="30"/>
      <c r="E929" s="30"/>
      <c r="F929" s="30"/>
      <c r="G929" s="44"/>
      <c r="H929" s="30"/>
      <c r="I929" s="30"/>
      <c r="J929" s="30"/>
      <c r="K929" s="30"/>
      <c r="L929" s="30"/>
      <c r="M929" s="30"/>
      <c r="N929" s="30"/>
      <c r="O929" s="30"/>
      <c r="P929" s="30"/>
      <c r="Q929" s="30"/>
      <c r="R929" s="30"/>
      <c r="S929" s="30"/>
      <c r="T929" s="30"/>
      <c r="U929" s="30"/>
      <c r="V929" s="30"/>
      <c r="W929" s="30"/>
      <c r="X929" s="30"/>
      <c r="Y929" s="30"/>
      <c r="Z929" s="30"/>
      <c r="AA929" s="30"/>
      <c r="AB929" s="30"/>
      <c r="AC929" s="30"/>
      <c r="AD929" s="30"/>
      <c r="AE929" s="30"/>
      <c r="AF929" s="30"/>
      <c r="AG929" s="30"/>
      <c r="AH929" s="30"/>
      <c r="AI929" s="30"/>
      <c r="AJ929" s="30"/>
      <c r="AK929" s="30"/>
      <c r="AL929" s="30"/>
      <c r="AM929" s="30"/>
      <c r="AN929" s="30"/>
      <c r="AO929" s="30"/>
      <c r="AP929" s="30"/>
      <c r="AQ929" s="30"/>
      <c r="AR929" s="30"/>
      <c r="AS929" s="30"/>
      <c r="AT929" s="30"/>
    </row>
    <row r="930" ht="12.75" customHeight="1">
      <c r="A930" s="30"/>
      <c r="B930" s="30"/>
      <c r="C930" s="30"/>
      <c r="D930" s="30"/>
      <c r="E930" s="30"/>
      <c r="F930" s="30"/>
      <c r="G930" s="44"/>
      <c r="H930" s="30"/>
      <c r="I930" s="30"/>
      <c r="J930" s="30"/>
      <c r="K930" s="30"/>
      <c r="L930" s="30"/>
      <c r="M930" s="30"/>
      <c r="N930" s="30"/>
      <c r="O930" s="30"/>
      <c r="P930" s="30"/>
      <c r="Q930" s="30"/>
      <c r="R930" s="30"/>
      <c r="S930" s="30"/>
      <c r="T930" s="30"/>
      <c r="U930" s="30"/>
      <c r="V930" s="30"/>
      <c r="W930" s="30"/>
      <c r="X930" s="30"/>
      <c r="Y930" s="30"/>
      <c r="Z930" s="30"/>
      <c r="AA930" s="30"/>
      <c r="AB930" s="30"/>
      <c r="AC930" s="30"/>
      <c r="AD930" s="30"/>
      <c r="AE930" s="30"/>
      <c r="AF930" s="30"/>
      <c r="AG930" s="30"/>
      <c r="AH930" s="30"/>
      <c r="AI930" s="30"/>
      <c r="AJ930" s="30"/>
      <c r="AK930" s="30"/>
      <c r="AL930" s="30"/>
      <c r="AM930" s="30"/>
      <c r="AN930" s="30"/>
      <c r="AO930" s="30"/>
      <c r="AP930" s="30"/>
      <c r="AQ930" s="30"/>
      <c r="AR930" s="30"/>
      <c r="AS930" s="30"/>
      <c r="AT930" s="30"/>
    </row>
    <row r="931" ht="12.75" customHeight="1">
      <c r="A931" s="30"/>
      <c r="B931" s="30"/>
      <c r="C931" s="30"/>
      <c r="D931" s="30"/>
      <c r="E931" s="30"/>
      <c r="F931" s="30"/>
      <c r="G931" s="44"/>
      <c r="H931" s="30"/>
      <c r="I931" s="30"/>
      <c r="J931" s="30"/>
      <c r="K931" s="30"/>
      <c r="L931" s="30"/>
      <c r="M931" s="30"/>
      <c r="N931" s="30"/>
      <c r="O931" s="30"/>
      <c r="P931" s="30"/>
      <c r="Q931" s="30"/>
      <c r="R931" s="30"/>
      <c r="S931" s="30"/>
      <c r="T931" s="30"/>
      <c r="U931" s="30"/>
      <c r="V931" s="30"/>
      <c r="W931" s="30"/>
      <c r="X931" s="30"/>
      <c r="Y931" s="30"/>
      <c r="Z931" s="30"/>
      <c r="AA931" s="30"/>
      <c r="AB931" s="30"/>
      <c r="AC931" s="30"/>
      <c r="AD931" s="30"/>
      <c r="AE931" s="30"/>
      <c r="AF931" s="30"/>
      <c r="AG931" s="30"/>
      <c r="AH931" s="30"/>
      <c r="AI931" s="30"/>
      <c r="AJ931" s="30"/>
      <c r="AK931" s="30"/>
      <c r="AL931" s="30"/>
      <c r="AM931" s="30"/>
      <c r="AN931" s="30"/>
      <c r="AO931" s="30"/>
      <c r="AP931" s="30"/>
      <c r="AQ931" s="30"/>
      <c r="AR931" s="30"/>
      <c r="AS931" s="30"/>
      <c r="AT931" s="30"/>
    </row>
    <row r="932" ht="12.75" customHeight="1">
      <c r="A932" s="30"/>
      <c r="B932" s="30"/>
      <c r="C932" s="30"/>
      <c r="D932" s="30"/>
      <c r="E932" s="30"/>
      <c r="F932" s="30"/>
      <c r="G932" s="44"/>
      <c r="H932" s="30"/>
      <c r="I932" s="30"/>
      <c r="J932" s="30"/>
      <c r="K932" s="30"/>
      <c r="L932" s="30"/>
      <c r="M932" s="30"/>
      <c r="N932" s="30"/>
      <c r="O932" s="30"/>
      <c r="P932" s="30"/>
      <c r="Q932" s="30"/>
      <c r="R932" s="30"/>
      <c r="S932" s="30"/>
      <c r="T932" s="30"/>
      <c r="U932" s="30"/>
      <c r="V932" s="30"/>
      <c r="W932" s="30"/>
      <c r="X932" s="30"/>
      <c r="Y932" s="30"/>
      <c r="Z932" s="30"/>
      <c r="AA932" s="30"/>
      <c r="AB932" s="30"/>
      <c r="AC932" s="30"/>
      <c r="AD932" s="30"/>
      <c r="AE932" s="30"/>
      <c r="AF932" s="30"/>
      <c r="AG932" s="30"/>
      <c r="AH932" s="30"/>
      <c r="AI932" s="30"/>
      <c r="AJ932" s="30"/>
      <c r="AK932" s="30"/>
      <c r="AL932" s="30"/>
      <c r="AM932" s="30"/>
      <c r="AN932" s="30"/>
      <c r="AO932" s="30"/>
      <c r="AP932" s="30"/>
      <c r="AQ932" s="30"/>
      <c r="AR932" s="30"/>
      <c r="AS932" s="30"/>
      <c r="AT932" s="30"/>
    </row>
    <row r="933" ht="12.75" customHeight="1">
      <c r="A933" s="30"/>
      <c r="B933" s="30"/>
      <c r="C933" s="30"/>
      <c r="D933" s="30"/>
      <c r="E933" s="30"/>
      <c r="F933" s="30"/>
      <c r="G933" s="44"/>
      <c r="H933" s="30"/>
      <c r="I933" s="30"/>
      <c r="J933" s="30"/>
      <c r="K933" s="30"/>
      <c r="L933" s="30"/>
      <c r="M933" s="30"/>
      <c r="N933" s="30"/>
      <c r="O933" s="30"/>
      <c r="P933" s="30"/>
      <c r="Q933" s="30"/>
      <c r="R933" s="30"/>
      <c r="S933" s="30"/>
      <c r="T933" s="30"/>
      <c r="U933" s="30"/>
      <c r="V933" s="30"/>
      <c r="W933" s="30"/>
      <c r="X933" s="30"/>
      <c r="Y933" s="30"/>
      <c r="Z933" s="30"/>
      <c r="AA933" s="30"/>
      <c r="AB933" s="30"/>
      <c r="AC933" s="30"/>
      <c r="AD933" s="30"/>
      <c r="AE933" s="30"/>
      <c r="AF933" s="30"/>
      <c r="AG933" s="30"/>
      <c r="AH933" s="30"/>
      <c r="AI933" s="30"/>
      <c r="AJ933" s="30"/>
      <c r="AK933" s="30"/>
      <c r="AL933" s="30"/>
      <c r="AM933" s="30"/>
      <c r="AN933" s="30"/>
      <c r="AO933" s="30"/>
      <c r="AP933" s="30"/>
      <c r="AQ933" s="30"/>
      <c r="AR933" s="30"/>
      <c r="AS933" s="30"/>
      <c r="AT933" s="30"/>
    </row>
    <row r="934" ht="12.75" customHeight="1">
      <c r="A934" s="30"/>
      <c r="B934" s="30"/>
      <c r="C934" s="30"/>
      <c r="D934" s="30"/>
      <c r="E934" s="30"/>
      <c r="F934" s="30"/>
      <c r="G934" s="44"/>
      <c r="H934" s="30"/>
      <c r="I934" s="30"/>
      <c r="J934" s="30"/>
      <c r="K934" s="30"/>
      <c r="L934" s="30"/>
      <c r="M934" s="30"/>
      <c r="N934" s="30"/>
      <c r="O934" s="30"/>
      <c r="P934" s="30"/>
      <c r="Q934" s="30"/>
      <c r="R934" s="30"/>
      <c r="S934" s="30"/>
      <c r="T934" s="30"/>
      <c r="U934" s="30"/>
      <c r="V934" s="30"/>
      <c r="W934" s="30"/>
      <c r="X934" s="30"/>
      <c r="Y934" s="30"/>
      <c r="Z934" s="30"/>
      <c r="AA934" s="30"/>
      <c r="AB934" s="30"/>
      <c r="AC934" s="30"/>
      <c r="AD934" s="30"/>
      <c r="AE934" s="30"/>
      <c r="AF934" s="30"/>
      <c r="AG934" s="30"/>
      <c r="AH934" s="30"/>
      <c r="AI934" s="30"/>
      <c r="AJ934" s="30"/>
      <c r="AK934" s="30"/>
      <c r="AL934" s="30"/>
      <c r="AM934" s="30"/>
      <c r="AN934" s="30"/>
      <c r="AO934" s="30"/>
      <c r="AP934" s="30"/>
      <c r="AQ934" s="30"/>
      <c r="AR934" s="30"/>
      <c r="AS934" s="30"/>
      <c r="AT934" s="30"/>
    </row>
    <row r="935" ht="12.75" customHeight="1">
      <c r="A935" s="30"/>
      <c r="B935" s="30"/>
      <c r="C935" s="30"/>
      <c r="D935" s="30"/>
      <c r="E935" s="30"/>
      <c r="F935" s="30"/>
      <c r="G935" s="44"/>
      <c r="H935" s="30"/>
      <c r="I935" s="30"/>
      <c r="J935" s="30"/>
      <c r="K935" s="30"/>
      <c r="L935" s="30"/>
      <c r="M935" s="30"/>
      <c r="N935" s="30"/>
      <c r="O935" s="30"/>
      <c r="P935" s="30"/>
      <c r="Q935" s="30"/>
      <c r="R935" s="30"/>
      <c r="S935" s="30"/>
      <c r="T935" s="30"/>
      <c r="U935" s="30"/>
      <c r="V935" s="30"/>
      <c r="W935" s="30"/>
      <c r="X935" s="30"/>
      <c r="Y935" s="30"/>
      <c r="Z935" s="30"/>
      <c r="AA935" s="30"/>
      <c r="AB935" s="30"/>
      <c r="AC935" s="30"/>
      <c r="AD935" s="30"/>
      <c r="AE935" s="30"/>
      <c r="AF935" s="30"/>
      <c r="AG935" s="30"/>
      <c r="AH935" s="30"/>
      <c r="AI935" s="30"/>
      <c r="AJ935" s="30"/>
      <c r="AK935" s="30"/>
      <c r="AL935" s="30"/>
      <c r="AM935" s="30"/>
      <c r="AN935" s="30"/>
      <c r="AO935" s="30"/>
      <c r="AP935" s="30"/>
      <c r="AQ935" s="30"/>
      <c r="AR935" s="30"/>
      <c r="AS935" s="30"/>
      <c r="AT935" s="30"/>
    </row>
    <row r="936" ht="12.75" customHeight="1">
      <c r="A936" s="30"/>
      <c r="B936" s="30"/>
      <c r="C936" s="30"/>
      <c r="D936" s="30"/>
      <c r="E936" s="30"/>
      <c r="F936" s="30"/>
      <c r="G936" s="44"/>
      <c r="H936" s="30"/>
      <c r="I936" s="30"/>
      <c r="J936" s="30"/>
      <c r="K936" s="30"/>
      <c r="L936" s="30"/>
      <c r="M936" s="30"/>
      <c r="N936" s="30"/>
      <c r="O936" s="30"/>
      <c r="P936" s="30"/>
      <c r="Q936" s="30"/>
      <c r="R936" s="30"/>
      <c r="S936" s="30"/>
      <c r="T936" s="30"/>
      <c r="U936" s="30"/>
      <c r="V936" s="30"/>
      <c r="W936" s="30"/>
      <c r="X936" s="30"/>
      <c r="Y936" s="30"/>
      <c r="Z936" s="30"/>
      <c r="AA936" s="30"/>
      <c r="AB936" s="30"/>
      <c r="AC936" s="30"/>
      <c r="AD936" s="30"/>
      <c r="AE936" s="30"/>
      <c r="AF936" s="30"/>
      <c r="AG936" s="30"/>
      <c r="AH936" s="30"/>
      <c r="AI936" s="30"/>
      <c r="AJ936" s="30"/>
      <c r="AK936" s="30"/>
      <c r="AL936" s="30"/>
      <c r="AM936" s="30"/>
      <c r="AN936" s="30"/>
      <c r="AO936" s="30"/>
      <c r="AP936" s="30"/>
      <c r="AQ936" s="30"/>
      <c r="AR936" s="30"/>
      <c r="AS936" s="30"/>
      <c r="AT936" s="30"/>
    </row>
    <row r="937" ht="12.75" customHeight="1">
      <c r="A937" s="30"/>
      <c r="B937" s="30"/>
      <c r="C937" s="30"/>
      <c r="D937" s="30"/>
      <c r="E937" s="30"/>
      <c r="F937" s="30"/>
      <c r="G937" s="44"/>
      <c r="H937" s="30"/>
      <c r="I937" s="30"/>
      <c r="J937" s="30"/>
      <c r="K937" s="30"/>
      <c r="L937" s="30"/>
      <c r="M937" s="30"/>
      <c r="N937" s="30"/>
      <c r="O937" s="30"/>
      <c r="P937" s="30"/>
      <c r="Q937" s="30"/>
      <c r="R937" s="30"/>
      <c r="S937" s="30"/>
      <c r="T937" s="30"/>
      <c r="U937" s="30"/>
      <c r="V937" s="30"/>
      <c r="W937" s="30"/>
      <c r="X937" s="30"/>
      <c r="Y937" s="30"/>
      <c r="Z937" s="30"/>
      <c r="AA937" s="30"/>
      <c r="AB937" s="30"/>
      <c r="AC937" s="30"/>
      <c r="AD937" s="30"/>
      <c r="AE937" s="30"/>
      <c r="AF937" s="30"/>
      <c r="AG937" s="30"/>
      <c r="AH937" s="30"/>
      <c r="AI937" s="30"/>
      <c r="AJ937" s="30"/>
      <c r="AK937" s="30"/>
      <c r="AL937" s="30"/>
      <c r="AM937" s="30"/>
      <c r="AN937" s="30"/>
      <c r="AO937" s="30"/>
      <c r="AP937" s="30"/>
      <c r="AQ937" s="30"/>
      <c r="AR937" s="30"/>
      <c r="AS937" s="30"/>
      <c r="AT937" s="30"/>
    </row>
    <row r="938" ht="12.75" customHeight="1">
      <c r="A938" s="30"/>
      <c r="B938" s="30"/>
      <c r="C938" s="30"/>
      <c r="D938" s="30"/>
      <c r="E938" s="30"/>
      <c r="F938" s="30"/>
      <c r="G938" s="44"/>
      <c r="H938" s="30"/>
      <c r="I938" s="30"/>
      <c r="J938" s="30"/>
      <c r="K938" s="30"/>
      <c r="L938" s="30"/>
      <c r="M938" s="30"/>
      <c r="N938" s="30"/>
      <c r="O938" s="30"/>
      <c r="P938" s="30"/>
      <c r="Q938" s="30"/>
      <c r="R938" s="30"/>
      <c r="S938" s="30"/>
      <c r="T938" s="30"/>
      <c r="U938" s="30"/>
      <c r="V938" s="30"/>
      <c r="W938" s="30"/>
      <c r="X938" s="30"/>
      <c r="Y938" s="30"/>
      <c r="Z938" s="30"/>
      <c r="AA938" s="30"/>
      <c r="AB938" s="30"/>
      <c r="AC938" s="30"/>
      <c r="AD938" s="30"/>
      <c r="AE938" s="30"/>
      <c r="AF938" s="30"/>
      <c r="AG938" s="30"/>
      <c r="AH938" s="30"/>
      <c r="AI938" s="30"/>
      <c r="AJ938" s="30"/>
      <c r="AK938" s="30"/>
      <c r="AL938" s="30"/>
      <c r="AM938" s="30"/>
      <c r="AN938" s="30"/>
      <c r="AO938" s="30"/>
      <c r="AP938" s="30"/>
      <c r="AQ938" s="30"/>
      <c r="AR938" s="30"/>
      <c r="AS938" s="30"/>
      <c r="AT938" s="30"/>
    </row>
    <row r="939" ht="12.75" customHeight="1">
      <c r="A939" s="30"/>
      <c r="B939" s="30"/>
      <c r="C939" s="30"/>
      <c r="D939" s="30"/>
      <c r="E939" s="30"/>
      <c r="F939" s="30"/>
      <c r="G939" s="44"/>
      <c r="H939" s="30"/>
      <c r="I939" s="30"/>
      <c r="J939" s="30"/>
      <c r="K939" s="30"/>
      <c r="L939" s="30"/>
      <c r="M939" s="30"/>
      <c r="N939" s="30"/>
      <c r="O939" s="30"/>
      <c r="P939" s="30"/>
      <c r="Q939" s="30"/>
      <c r="R939" s="30"/>
      <c r="S939" s="30"/>
      <c r="T939" s="30"/>
      <c r="U939" s="30"/>
      <c r="V939" s="30"/>
      <c r="W939" s="30"/>
      <c r="X939" s="30"/>
      <c r="Y939" s="30"/>
      <c r="Z939" s="30"/>
      <c r="AA939" s="30"/>
      <c r="AB939" s="30"/>
      <c r="AC939" s="30"/>
      <c r="AD939" s="30"/>
      <c r="AE939" s="30"/>
      <c r="AF939" s="30"/>
      <c r="AG939" s="30"/>
      <c r="AH939" s="30"/>
      <c r="AI939" s="30"/>
      <c r="AJ939" s="30"/>
      <c r="AK939" s="30"/>
      <c r="AL939" s="30"/>
      <c r="AM939" s="30"/>
      <c r="AN939" s="30"/>
      <c r="AO939" s="30"/>
      <c r="AP939" s="30"/>
      <c r="AQ939" s="30"/>
      <c r="AR939" s="30"/>
      <c r="AS939" s="30"/>
      <c r="AT939" s="30"/>
    </row>
    <row r="940" ht="12.75" customHeight="1">
      <c r="A940" s="30"/>
      <c r="B940" s="30"/>
      <c r="C940" s="30"/>
      <c r="D940" s="30"/>
      <c r="E940" s="30"/>
      <c r="F940" s="30"/>
      <c r="G940" s="44"/>
      <c r="H940" s="30"/>
      <c r="I940" s="30"/>
      <c r="J940" s="30"/>
      <c r="K940" s="30"/>
      <c r="L940" s="30"/>
      <c r="M940" s="30"/>
      <c r="N940" s="30"/>
      <c r="O940" s="30"/>
      <c r="P940" s="30"/>
      <c r="Q940" s="30"/>
      <c r="R940" s="30"/>
      <c r="S940" s="30"/>
      <c r="T940" s="30"/>
      <c r="U940" s="30"/>
      <c r="V940" s="30"/>
      <c r="W940" s="30"/>
      <c r="X940" s="30"/>
      <c r="Y940" s="30"/>
      <c r="Z940" s="30"/>
      <c r="AA940" s="30"/>
      <c r="AB940" s="30"/>
      <c r="AC940" s="30"/>
      <c r="AD940" s="30"/>
      <c r="AE940" s="30"/>
      <c r="AF940" s="30"/>
      <c r="AG940" s="30"/>
      <c r="AH940" s="30"/>
      <c r="AI940" s="30"/>
      <c r="AJ940" s="30"/>
      <c r="AK940" s="30"/>
      <c r="AL940" s="30"/>
      <c r="AM940" s="30"/>
      <c r="AN940" s="30"/>
      <c r="AO940" s="30"/>
      <c r="AP940" s="30"/>
      <c r="AQ940" s="30"/>
      <c r="AR940" s="30"/>
      <c r="AS940" s="30"/>
      <c r="AT940" s="30"/>
    </row>
    <row r="941" ht="12.75" customHeight="1">
      <c r="A941" s="30"/>
      <c r="B941" s="30"/>
      <c r="C941" s="30"/>
      <c r="D941" s="30"/>
      <c r="E941" s="30"/>
      <c r="F941" s="30"/>
      <c r="G941" s="44"/>
      <c r="H941" s="30"/>
      <c r="I941" s="30"/>
      <c r="J941" s="30"/>
      <c r="K941" s="30"/>
      <c r="L941" s="30"/>
      <c r="M941" s="30"/>
      <c r="N941" s="30"/>
      <c r="O941" s="30"/>
      <c r="P941" s="30"/>
      <c r="Q941" s="30"/>
      <c r="R941" s="30"/>
      <c r="S941" s="30"/>
      <c r="T941" s="30"/>
      <c r="U941" s="30"/>
      <c r="V941" s="30"/>
      <c r="W941" s="30"/>
      <c r="X941" s="30"/>
      <c r="Y941" s="30"/>
      <c r="Z941" s="30"/>
      <c r="AA941" s="30"/>
      <c r="AB941" s="30"/>
      <c r="AC941" s="30"/>
      <c r="AD941" s="30"/>
      <c r="AE941" s="30"/>
      <c r="AF941" s="30"/>
      <c r="AG941" s="30"/>
      <c r="AH941" s="30"/>
      <c r="AI941" s="30"/>
      <c r="AJ941" s="30"/>
      <c r="AK941" s="30"/>
      <c r="AL941" s="30"/>
      <c r="AM941" s="30"/>
      <c r="AN941" s="30"/>
      <c r="AO941" s="30"/>
      <c r="AP941" s="30"/>
      <c r="AQ941" s="30"/>
      <c r="AR941" s="30"/>
      <c r="AS941" s="30"/>
      <c r="AT941" s="30"/>
    </row>
    <row r="942" ht="12.75" customHeight="1">
      <c r="A942" s="30"/>
      <c r="B942" s="30"/>
      <c r="C942" s="30"/>
      <c r="D942" s="30"/>
      <c r="E942" s="30"/>
      <c r="F942" s="30"/>
      <c r="G942" s="44"/>
      <c r="H942" s="30"/>
      <c r="I942" s="30"/>
      <c r="J942" s="30"/>
      <c r="K942" s="30"/>
      <c r="L942" s="30"/>
      <c r="M942" s="30"/>
      <c r="N942" s="30"/>
      <c r="O942" s="30"/>
      <c r="P942" s="30"/>
      <c r="Q942" s="30"/>
      <c r="R942" s="30"/>
      <c r="S942" s="30"/>
      <c r="T942" s="30"/>
      <c r="U942" s="30"/>
      <c r="V942" s="30"/>
      <c r="W942" s="30"/>
      <c r="X942" s="30"/>
      <c r="Y942" s="30"/>
      <c r="Z942" s="30"/>
      <c r="AA942" s="30"/>
      <c r="AB942" s="30"/>
      <c r="AC942" s="30"/>
      <c r="AD942" s="30"/>
      <c r="AE942" s="30"/>
      <c r="AF942" s="30"/>
      <c r="AG942" s="30"/>
      <c r="AH942" s="30"/>
      <c r="AI942" s="30"/>
      <c r="AJ942" s="30"/>
      <c r="AK942" s="30"/>
      <c r="AL942" s="30"/>
      <c r="AM942" s="30"/>
      <c r="AN942" s="30"/>
      <c r="AO942" s="30"/>
      <c r="AP942" s="30"/>
      <c r="AQ942" s="30"/>
      <c r="AR942" s="30"/>
      <c r="AS942" s="30"/>
      <c r="AT942" s="30"/>
    </row>
    <row r="943" ht="12.75" customHeight="1">
      <c r="A943" s="30"/>
      <c r="B943" s="30"/>
      <c r="C943" s="30"/>
      <c r="D943" s="30"/>
      <c r="E943" s="30"/>
      <c r="F943" s="30"/>
      <c r="G943" s="44"/>
      <c r="H943" s="30"/>
      <c r="I943" s="30"/>
      <c r="J943" s="30"/>
      <c r="K943" s="30"/>
      <c r="L943" s="30"/>
      <c r="M943" s="30"/>
      <c r="N943" s="30"/>
      <c r="O943" s="30"/>
      <c r="P943" s="30"/>
      <c r="Q943" s="30"/>
      <c r="R943" s="30"/>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c r="AQ943" s="30"/>
      <c r="AR943" s="30"/>
      <c r="AS943" s="30"/>
      <c r="AT943" s="30"/>
    </row>
    <row r="944" ht="12.75" customHeight="1">
      <c r="A944" s="30"/>
      <c r="B944" s="30"/>
      <c r="C944" s="30"/>
      <c r="D944" s="30"/>
      <c r="E944" s="30"/>
      <c r="F944" s="30"/>
      <c r="G944" s="44"/>
      <c r="H944" s="30"/>
      <c r="I944" s="30"/>
      <c r="J944" s="30"/>
      <c r="K944" s="30"/>
      <c r="L944" s="30"/>
      <c r="M944" s="30"/>
      <c r="N944" s="30"/>
      <c r="O944" s="30"/>
      <c r="P944" s="30"/>
      <c r="Q944" s="30"/>
      <c r="R944" s="30"/>
      <c r="S944" s="30"/>
      <c r="T944" s="30"/>
      <c r="U944" s="30"/>
      <c r="V944" s="30"/>
      <c r="W944" s="30"/>
      <c r="X944" s="30"/>
      <c r="Y944" s="30"/>
      <c r="Z944" s="30"/>
      <c r="AA944" s="30"/>
      <c r="AB944" s="30"/>
      <c r="AC944" s="30"/>
      <c r="AD944" s="30"/>
      <c r="AE944" s="30"/>
      <c r="AF944" s="30"/>
      <c r="AG944" s="30"/>
      <c r="AH944" s="30"/>
      <c r="AI944" s="30"/>
      <c r="AJ944" s="30"/>
      <c r="AK944" s="30"/>
      <c r="AL944" s="30"/>
      <c r="AM944" s="30"/>
      <c r="AN944" s="30"/>
      <c r="AO944" s="30"/>
      <c r="AP944" s="30"/>
      <c r="AQ944" s="30"/>
      <c r="AR944" s="30"/>
      <c r="AS944" s="30"/>
      <c r="AT944" s="30"/>
    </row>
    <row r="945" ht="12.75" customHeight="1">
      <c r="A945" s="30"/>
      <c r="B945" s="30"/>
      <c r="C945" s="30"/>
      <c r="D945" s="30"/>
      <c r="E945" s="30"/>
      <c r="F945" s="30"/>
      <c r="G945" s="44"/>
      <c r="H945" s="30"/>
      <c r="I945" s="30"/>
      <c r="J945" s="30"/>
      <c r="K945" s="30"/>
      <c r="L945" s="30"/>
      <c r="M945" s="30"/>
      <c r="N945" s="30"/>
      <c r="O945" s="30"/>
      <c r="P945" s="30"/>
      <c r="Q945" s="30"/>
      <c r="R945" s="30"/>
      <c r="S945" s="30"/>
      <c r="T945" s="30"/>
      <c r="U945" s="30"/>
      <c r="V945" s="30"/>
      <c r="W945" s="30"/>
      <c r="X945" s="30"/>
      <c r="Y945" s="30"/>
      <c r="Z945" s="30"/>
      <c r="AA945" s="30"/>
      <c r="AB945" s="30"/>
      <c r="AC945" s="30"/>
      <c r="AD945" s="30"/>
      <c r="AE945" s="30"/>
      <c r="AF945" s="30"/>
      <c r="AG945" s="30"/>
      <c r="AH945" s="30"/>
      <c r="AI945" s="30"/>
      <c r="AJ945" s="30"/>
      <c r="AK945" s="30"/>
      <c r="AL945" s="30"/>
      <c r="AM945" s="30"/>
      <c r="AN945" s="30"/>
      <c r="AO945" s="30"/>
      <c r="AP945" s="30"/>
      <c r="AQ945" s="30"/>
      <c r="AR945" s="30"/>
      <c r="AS945" s="30"/>
      <c r="AT945" s="30"/>
    </row>
    <row r="946" ht="12.75" customHeight="1">
      <c r="A946" s="30"/>
      <c r="B946" s="30"/>
      <c r="C946" s="30"/>
      <c r="D946" s="30"/>
      <c r="E946" s="30"/>
      <c r="F946" s="30"/>
      <c r="G946" s="44"/>
      <c r="H946" s="30"/>
      <c r="I946" s="30"/>
      <c r="J946" s="30"/>
      <c r="K946" s="30"/>
      <c r="L946" s="30"/>
      <c r="M946" s="30"/>
      <c r="N946" s="30"/>
      <c r="O946" s="30"/>
      <c r="P946" s="30"/>
      <c r="Q946" s="30"/>
      <c r="R946" s="30"/>
      <c r="S946" s="30"/>
      <c r="T946" s="30"/>
      <c r="U946" s="30"/>
      <c r="V946" s="30"/>
      <c r="W946" s="30"/>
      <c r="X946" s="30"/>
      <c r="Y946" s="30"/>
      <c r="Z946" s="30"/>
      <c r="AA946" s="30"/>
      <c r="AB946" s="30"/>
      <c r="AC946" s="30"/>
      <c r="AD946" s="30"/>
      <c r="AE946" s="30"/>
      <c r="AF946" s="30"/>
      <c r="AG946" s="30"/>
      <c r="AH946" s="30"/>
      <c r="AI946" s="30"/>
      <c r="AJ946" s="30"/>
      <c r="AK946" s="30"/>
      <c r="AL946" s="30"/>
      <c r="AM946" s="30"/>
      <c r="AN946" s="30"/>
      <c r="AO946" s="30"/>
      <c r="AP946" s="30"/>
      <c r="AQ946" s="30"/>
      <c r="AR946" s="30"/>
      <c r="AS946" s="30"/>
      <c r="AT946" s="30"/>
    </row>
    <row r="947" ht="12.75" customHeight="1">
      <c r="A947" s="30"/>
      <c r="B947" s="30"/>
      <c r="C947" s="30"/>
      <c r="D947" s="30"/>
      <c r="E947" s="30"/>
      <c r="F947" s="30"/>
      <c r="G947" s="44"/>
      <c r="H947" s="30"/>
      <c r="I947" s="30"/>
      <c r="J947" s="30"/>
      <c r="K947" s="30"/>
      <c r="L947" s="30"/>
      <c r="M947" s="30"/>
      <c r="N947" s="30"/>
      <c r="O947" s="30"/>
      <c r="P947" s="30"/>
      <c r="Q947" s="30"/>
      <c r="R947" s="30"/>
      <c r="S947" s="30"/>
      <c r="T947" s="30"/>
      <c r="U947" s="30"/>
      <c r="V947" s="30"/>
      <c r="W947" s="30"/>
      <c r="X947" s="30"/>
      <c r="Y947" s="30"/>
      <c r="Z947" s="30"/>
      <c r="AA947" s="30"/>
      <c r="AB947" s="30"/>
      <c r="AC947" s="30"/>
      <c r="AD947" s="30"/>
      <c r="AE947" s="30"/>
      <c r="AF947" s="30"/>
      <c r="AG947" s="30"/>
      <c r="AH947" s="30"/>
      <c r="AI947" s="30"/>
      <c r="AJ947" s="30"/>
      <c r="AK947" s="30"/>
      <c r="AL947" s="30"/>
      <c r="AM947" s="30"/>
      <c r="AN947" s="30"/>
      <c r="AO947" s="30"/>
      <c r="AP947" s="30"/>
      <c r="AQ947" s="30"/>
      <c r="AR947" s="30"/>
      <c r="AS947" s="30"/>
      <c r="AT947" s="30"/>
    </row>
    <row r="948" ht="12.75" customHeight="1">
      <c r="A948" s="30"/>
      <c r="B948" s="30"/>
      <c r="C948" s="30"/>
      <c r="D948" s="30"/>
      <c r="E948" s="30"/>
      <c r="F948" s="30"/>
      <c r="G948" s="44"/>
      <c r="H948" s="30"/>
      <c r="I948" s="30"/>
      <c r="J948" s="30"/>
      <c r="K948" s="30"/>
      <c r="L948" s="30"/>
      <c r="M948" s="30"/>
      <c r="N948" s="30"/>
      <c r="O948" s="30"/>
      <c r="P948" s="30"/>
      <c r="Q948" s="30"/>
      <c r="R948" s="30"/>
      <c r="S948" s="30"/>
      <c r="T948" s="30"/>
      <c r="U948" s="30"/>
      <c r="V948" s="30"/>
      <c r="W948" s="30"/>
      <c r="X948" s="30"/>
      <c r="Y948" s="30"/>
      <c r="Z948" s="30"/>
      <c r="AA948" s="30"/>
      <c r="AB948" s="30"/>
      <c r="AC948" s="30"/>
      <c r="AD948" s="30"/>
      <c r="AE948" s="30"/>
      <c r="AF948" s="30"/>
      <c r="AG948" s="30"/>
      <c r="AH948" s="30"/>
      <c r="AI948" s="30"/>
      <c r="AJ948" s="30"/>
      <c r="AK948" s="30"/>
      <c r="AL948" s="30"/>
      <c r="AM948" s="30"/>
      <c r="AN948" s="30"/>
      <c r="AO948" s="30"/>
      <c r="AP948" s="30"/>
      <c r="AQ948" s="30"/>
      <c r="AR948" s="30"/>
      <c r="AS948" s="30"/>
      <c r="AT948" s="30"/>
    </row>
    <row r="949" ht="12.75" customHeight="1">
      <c r="A949" s="30"/>
      <c r="B949" s="30"/>
      <c r="C949" s="30"/>
      <c r="D949" s="30"/>
      <c r="E949" s="30"/>
      <c r="F949" s="30"/>
      <c r="G949" s="44"/>
      <c r="H949" s="30"/>
      <c r="I949" s="30"/>
      <c r="J949" s="30"/>
      <c r="K949" s="30"/>
      <c r="L949" s="30"/>
      <c r="M949" s="30"/>
      <c r="N949" s="30"/>
      <c r="O949" s="30"/>
      <c r="P949" s="30"/>
      <c r="Q949" s="30"/>
      <c r="R949" s="30"/>
      <c r="S949" s="30"/>
      <c r="T949" s="30"/>
      <c r="U949" s="30"/>
      <c r="V949" s="30"/>
      <c r="W949" s="30"/>
      <c r="X949" s="30"/>
      <c r="Y949" s="30"/>
      <c r="Z949" s="30"/>
      <c r="AA949" s="30"/>
      <c r="AB949" s="30"/>
      <c r="AC949" s="30"/>
      <c r="AD949" s="30"/>
      <c r="AE949" s="30"/>
      <c r="AF949" s="30"/>
      <c r="AG949" s="30"/>
      <c r="AH949" s="30"/>
      <c r="AI949" s="30"/>
      <c r="AJ949" s="30"/>
      <c r="AK949" s="30"/>
      <c r="AL949" s="30"/>
      <c r="AM949" s="30"/>
      <c r="AN949" s="30"/>
      <c r="AO949" s="30"/>
      <c r="AP949" s="30"/>
      <c r="AQ949" s="30"/>
      <c r="AR949" s="30"/>
      <c r="AS949" s="30"/>
      <c r="AT949" s="30"/>
    </row>
    <row r="950" ht="12.75" customHeight="1">
      <c r="A950" s="30"/>
      <c r="B950" s="30"/>
      <c r="C950" s="30"/>
      <c r="D950" s="30"/>
      <c r="E950" s="30"/>
      <c r="F950" s="30"/>
      <c r="G950" s="44"/>
      <c r="H950" s="30"/>
      <c r="I950" s="30"/>
      <c r="J950" s="30"/>
      <c r="K950" s="30"/>
      <c r="L950" s="30"/>
      <c r="M950" s="30"/>
      <c r="N950" s="30"/>
      <c r="O950" s="30"/>
      <c r="P950" s="30"/>
      <c r="Q950" s="30"/>
      <c r="R950" s="30"/>
      <c r="S950" s="30"/>
      <c r="T950" s="30"/>
      <c r="U950" s="30"/>
      <c r="V950" s="30"/>
      <c r="W950" s="30"/>
      <c r="X950" s="30"/>
      <c r="Y950" s="30"/>
      <c r="Z950" s="30"/>
      <c r="AA950" s="30"/>
      <c r="AB950" s="30"/>
      <c r="AC950" s="30"/>
      <c r="AD950" s="30"/>
      <c r="AE950" s="30"/>
      <c r="AF950" s="30"/>
      <c r="AG950" s="30"/>
      <c r="AH950" s="30"/>
      <c r="AI950" s="30"/>
      <c r="AJ950" s="30"/>
      <c r="AK950" s="30"/>
      <c r="AL950" s="30"/>
      <c r="AM950" s="30"/>
      <c r="AN950" s="30"/>
      <c r="AO950" s="30"/>
      <c r="AP950" s="30"/>
      <c r="AQ950" s="30"/>
      <c r="AR950" s="30"/>
      <c r="AS950" s="30"/>
      <c r="AT950" s="30"/>
    </row>
    <row r="951" ht="12.75" customHeight="1">
      <c r="A951" s="30"/>
      <c r="B951" s="30"/>
      <c r="C951" s="30"/>
      <c r="D951" s="30"/>
      <c r="E951" s="30"/>
      <c r="F951" s="30"/>
      <c r="G951" s="44"/>
      <c r="H951" s="30"/>
      <c r="I951" s="30"/>
      <c r="J951" s="30"/>
      <c r="K951" s="30"/>
      <c r="L951" s="30"/>
      <c r="M951" s="30"/>
      <c r="N951" s="30"/>
      <c r="O951" s="30"/>
      <c r="P951" s="30"/>
      <c r="Q951" s="30"/>
      <c r="R951" s="30"/>
      <c r="S951" s="30"/>
      <c r="T951" s="30"/>
      <c r="U951" s="30"/>
      <c r="V951" s="30"/>
      <c r="W951" s="30"/>
      <c r="X951" s="30"/>
      <c r="Y951" s="30"/>
      <c r="Z951" s="30"/>
      <c r="AA951" s="30"/>
      <c r="AB951" s="30"/>
      <c r="AC951" s="30"/>
      <c r="AD951" s="30"/>
      <c r="AE951" s="30"/>
      <c r="AF951" s="30"/>
      <c r="AG951" s="30"/>
      <c r="AH951" s="30"/>
      <c r="AI951" s="30"/>
      <c r="AJ951" s="30"/>
      <c r="AK951" s="30"/>
      <c r="AL951" s="30"/>
      <c r="AM951" s="30"/>
      <c r="AN951" s="30"/>
      <c r="AO951" s="30"/>
      <c r="AP951" s="30"/>
      <c r="AQ951" s="30"/>
      <c r="AR951" s="30"/>
      <c r="AS951" s="30"/>
      <c r="AT951" s="30"/>
    </row>
    <row r="952" ht="12.75" customHeight="1">
      <c r="A952" s="30"/>
      <c r="B952" s="30"/>
      <c r="C952" s="30"/>
      <c r="D952" s="30"/>
      <c r="E952" s="30"/>
      <c r="F952" s="30"/>
      <c r="G952" s="44"/>
      <c r="H952" s="30"/>
      <c r="I952" s="30"/>
      <c r="J952" s="30"/>
      <c r="K952" s="30"/>
      <c r="L952" s="30"/>
      <c r="M952" s="30"/>
      <c r="N952" s="30"/>
      <c r="O952" s="30"/>
      <c r="P952" s="30"/>
      <c r="Q952" s="30"/>
      <c r="R952" s="30"/>
      <c r="S952" s="30"/>
      <c r="T952" s="30"/>
      <c r="U952" s="30"/>
      <c r="V952" s="30"/>
      <c r="W952" s="30"/>
      <c r="X952" s="30"/>
      <c r="Y952" s="30"/>
      <c r="Z952" s="30"/>
      <c r="AA952" s="30"/>
      <c r="AB952" s="30"/>
      <c r="AC952" s="30"/>
      <c r="AD952" s="30"/>
      <c r="AE952" s="30"/>
      <c r="AF952" s="30"/>
      <c r="AG952" s="30"/>
      <c r="AH952" s="30"/>
      <c r="AI952" s="30"/>
      <c r="AJ952" s="30"/>
      <c r="AK952" s="30"/>
      <c r="AL952" s="30"/>
      <c r="AM952" s="30"/>
      <c r="AN952" s="30"/>
      <c r="AO952" s="30"/>
      <c r="AP952" s="30"/>
      <c r="AQ952" s="30"/>
      <c r="AR952" s="30"/>
      <c r="AS952" s="30"/>
      <c r="AT952" s="30"/>
    </row>
    <row r="953" ht="12.75" customHeight="1">
      <c r="A953" s="30"/>
      <c r="B953" s="30"/>
      <c r="C953" s="30"/>
      <c r="D953" s="30"/>
      <c r="E953" s="30"/>
      <c r="F953" s="30"/>
      <c r="G953" s="44"/>
      <c r="H953" s="30"/>
      <c r="I953" s="30"/>
      <c r="J953" s="30"/>
      <c r="K953" s="30"/>
      <c r="L953" s="30"/>
      <c r="M953" s="30"/>
      <c r="N953" s="30"/>
      <c r="O953" s="30"/>
      <c r="P953" s="30"/>
      <c r="Q953" s="30"/>
      <c r="R953" s="30"/>
      <c r="S953" s="30"/>
      <c r="T953" s="30"/>
      <c r="U953" s="30"/>
      <c r="V953" s="30"/>
      <c r="W953" s="30"/>
      <c r="X953" s="30"/>
      <c r="Y953" s="30"/>
      <c r="Z953" s="30"/>
      <c r="AA953" s="30"/>
      <c r="AB953" s="30"/>
      <c r="AC953" s="30"/>
      <c r="AD953" s="30"/>
      <c r="AE953" s="30"/>
      <c r="AF953" s="30"/>
      <c r="AG953" s="30"/>
      <c r="AH953" s="30"/>
      <c r="AI953" s="30"/>
      <c r="AJ953" s="30"/>
      <c r="AK953" s="30"/>
      <c r="AL953" s="30"/>
      <c r="AM953" s="30"/>
      <c r="AN953" s="30"/>
      <c r="AO953" s="30"/>
      <c r="AP953" s="30"/>
      <c r="AQ953" s="30"/>
      <c r="AR953" s="30"/>
      <c r="AS953" s="30"/>
      <c r="AT953" s="30"/>
    </row>
    <row r="954" ht="12.75" customHeight="1">
      <c r="A954" s="30"/>
      <c r="B954" s="30"/>
      <c r="C954" s="30"/>
      <c r="D954" s="30"/>
      <c r="E954" s="30"/>
      <c r="F954" s="30"/>
      <c r="G954" s="44"/>
      <c r="H954" s="30"/>
      <c r="I954" s="30"/>
      <c r="J954" s="30"/>
      <c r="K954" s="30"/>
      <c r="L954" s="30"/>
      <c r="M954" s="30"/>
      <c r="N954" s="30"/>
      <c r="O954" s="30"/>
      <c r="P954" s="30"/>
      <c r="Q954" s="30"/>
      <c r="R954" s="30"/>
      <c r="S954" s="30"/>
      <c r="T954" s="30"/>
      <c r="U954" s="30"/>
      <c r="V954" s="30"/>
      <c r="W954" s="30"/>
      <c r="X954" s="30"/>
      <c r="Y954" s="30"/>
      <c r="Z954" s="30"/>
      <c r="AA954" s="30"/>
      <c r="AB954" s="30"/>
      <c r="AC954" s="30"/>
      <c r="AD954" s="30"/>
      <c r="AE954" s="30"/>
      <c r="AF954" s="30"/>
      <c r="AG954" s="30"/>
      <c r="AH954" s="30"/>
      <c r="AI954" s="30"/>
      <c r="AJ954" s="30"/>
      <c r="AK954" s="30"/>
      <c r="AL954" s="30"/>
      <c r="AM954" s="30"/>
      <c r="AN954" s="30"/>
      <c r="AO954" s="30"/>
      <c r="AP954" s="30"/>
      <c r="AQ954" s="30"/>
      <c r="AR954" s="30"/>
      <c r="AS954" s="30"/>
      <c r="AT954" s="30"/>
    </row>
    <row r="955" ht="12.75" customHeight="1">
      <c r="A955" s="30"/>
      <c r="B955" s="30"/>
      <c r="C955" s="30"/>
      <c r="D955" s="30"/>
      <c r="E955" s="30"/>
      <c r="F955" s="30"/>
      <c r="G955" s="44"/>
      <c r="H955" s="30"/>
      <c r="I955" s="30"/>
      <c r="J955" s="30"/>
      <c r="K955" s="30"/>
      <c r="L955" s="30"/>
      <c r="M955" s="30"/>
      <c r="N955" s="30"/>
      <c r="O955" s="30"/>
      <c r="P955" s="30"/>
      <c r="Q955" s="30"/>
      <c r="R955" s="30"/>
      <c r="S955" s="30"/>
      <c r="T955" s="30"/>
      <c r="U955" s="30"/>
      <c r="V955" s="30"/>
      <c r="W955" s="30"/>
      <c r="X955" s="30"/>
      <c r="Y955" s="30"/>
      <c r="Z955" s="30"/>
      <c r="AA955" s="30"/>
      <c r="AB955" s="30"/>
      <c r="AC955" s="30"/>
      <c r="AD955" s="30"/>
      <c r="AE955" s="30"/>
      <c r="AF955" s="30"/>
      <c r="AG955" s="30"/>
      <c r="AH955" s="30"/>
      <c r="AI955" s="30"/>
      <c r="AJ955" s="30"/>
      <c r="AK955" s="30"/>
      <c r="AL955" s="30"/>
      <c r="AM955" s="30"/>
      <c r="AN955" s="30"/>
      <c r="AO955" s="30"/>
      <c r="AP955" s="30"/>
      <c r="AQ955" s="30"/>
      <c r="AR955" s="30"/>
      <c r="AS955" s="30"/>
      <c r="AT955" s="30"/>
    </row>
    <row r="956" ht="12.75" customHeight="1">
      <c r="A956" s="30"/>
      <c r="B956" s="30"/>
      <c r="C956" s="30"/>
      <c r="D956" s="30"/>
      <c r="E956" s="30"/>
      <c r="F956" s="30"/>
      <c r="G956" s="44"/>
      <c r="H956" s="30"/>
      <c r="I956" s="30"/>
      <c r="J956" s="30"/>
      <c r="K956" s="30"/>
      <c r="L956" s="30"/>
      <c r="M956" s="30"/>
      <c r="N956" s="30"/>
      <c r="O956" s="30"/>
      <c r="P956" s="30"/>
      <c r="Q956" s="30"/>
      <c r="R956" s="30"/>
      <c r="S956" s="30"/>
      <c r="T956" s="30"/>
      <c r="U956" s="30"/>
      <c r="V956" s="30"/>
      <c r="W956" s="30"/>
      <c r="X956" s="30"/>
      <c r="Y956" s="30"/>
      <c r="Z956" s="30"/>
      <c r="AA956" s="30"/>
      <c r="AB956" s="30"/>
      <c r="AC956" s="30"/>
      <c r="AD956" s="30"/>
      <c r="AE956" s="30"/>
      <c r="AF956" s="30"/>
      <c r="AG956" s="30"/>
      <c r="AH956" s="30"/>
      <c r="AI956" s="30"/>
      <c r="AJ956" s="30"/>
      <c r="AK956" s="30"/>
      <c r="AL956" s="30"/>
      <c r="AM956" s="30"/>
      <c r="AN956" s="30"/>
      <c r="AO956" s="30"/>
      <c r="AP956" s="30"/>
      <c r="AQ956" s="30"/>
      <c r="AR956" s="30"/>
      <c r="AS956" s="30"/>
      <c r="AT956" s="30"/>
    </row>
    <row r="957" ht="12.75" customHeight="1">
      <c r="A957" s="30"/>
      <c r="B957" s="30"/>
      <c r="C957" s="30"/>
      <c r="D957" s="30"/>
      <c r="E957" s="30"/>
      <c r="F957" s="30"/>
      <c r="G957" s="44"/>
      <c r="H957" s="30"/>
      <c r="I957" s="30"/>
      <c r="J957" s="30"/>
      <c r="K957" s="30"/>
      <c r="L957" s="30"/>
      <c r="M957" s="30"/>
      <c r="N957" s="30"/>
      <c r="O957" s="30"/>
      <c r="P957" s="30"/>
      <c r="Q957" s="30"/>
      <c r="R957" s="30"/>
      <c r="S957" s="30"/>
      <c r="T957" s="30"/>
      <c r="U957" s="30"/>
      <c r="V957" s="30"/>
      <c r="W957" s="30"/>
      <c r="X957" s="30"/>
      <c r="Y957" s="30"/>
      <c r="Z957" s="30"/>
      <c r="AA957" s="30"/>
      <c r="AB957" s="30"/>
      <c r="AC957" s="30"/>
      <c r="AD957" s="30"/>
      <c r="AE957" s="30"/>
      <c r="AF957" s="30"/>
      <c r="AG957" s="30"/>
      <c r="AH957" s="30"/>
      <c r="AI957" s="30"/>
      <c r="AJ957" s="30"/>
      <c r="AK957" s="30"/>
      <c r="AL957" s="30"/>
      <c r="AM957" s="30"/>
      <c r="AN957" s="30"/>
      <c r="AO957" s="30"/>
      <c r="AP957" s="30"/>
      <c r="AQ957" s="30"/>
      <c r="AR957" s="30"/>
      <c r="AS957" s="30"/>
      <c r="AT957" s="30"/>
    </row>
    <row r="958" ht="12.75" customHeight="1">
      <c r="A958" s="30"/>
      <c r="B958" s="30"/>
      <c r="C958" s="30"/>
      <c r="D958" s="30"/>
      <c r="E958" s="30"/>
      <c r="F958" s="30"/>
      <c r="G958" s="44"/>
      <c r="H958" s="30"/>
      <c r="I958" s="30"/>
      <c r="J958" s="30"/>
      <c r="K958" s="30"/>
      <c r="L958" s="30"/>
      <c r="M958" s="30"/>
      <c r="N958" s="30"/>
      <c r="O958" s="30"/>
      <c r="P958" s="30"/>
      <c r="Q958" s="30"/>
      <c r="R958" s="30"/>
      <c r="S958" s="30"/>
      <c r="T958" s="30"/>
      <c r="U958" s="30"/>
      <c r="V958" s="30"/>
      <c r="W958" s="30"/>
      <c r="X958" s="30"/>
      <c r="Y958" s="30"/>
      <c r="Z958" s="30"/>
      <c r="AA958" s="30"/>
      <c r="AB958" s="30"/>
      <c r="AC958" s="30"/>
      <c r="AD958" s="30"/>
      <c r="AE958" s="30"/>
      <c r="AF958" s="30"/>
      <c r="AG958" s="30"/>
      <c r="AH958" s="30"/>
      <c r="AI958" s="30"/>
      <c r="AJ958" s="30"/>
      <c r="AK958" s="30"/>
      <c r="AL958" s="30"/>
      <c r="AM958" s="30"/>
      <c r="AN958" s="30"/>
      <c r="AO958" s="30"/>
      <c r="AP958" s="30"/>
      <c r="AQ958" s="30"/>
      <c r="AR958" s="30"/>
      <c r="AS958" s="30"/>
      <c r="AT958" s="30"/>
    </row>
    <row r="959" ht="12.75" customHeight="1">
      <c r="A959" s="30"/>
      <c r="B959" s="30"/>
      <c r="C959" s="30"/>
      <c r="D959" s="30"/>
      <c r="E959" s="30"/>
      <c r="F959" s="30"/>
      <c r="G959" s="44"/>
      <c r="H959" s="30"/>
      <c r="I959" s="30"/>
      <c r="J959" s="30"/>
      <c r="K959" s="30"/>
      <c r="L959" s="30"/>
      <c r="M959" s="30"/>
      <c r="N959" s="30"/>
      <c r="O959" s="30"/>
      <c r="P959" s="30"/>
      <c r="Q959" s="30"/>
      <c r="R959" s="30"/>
      <c r="S959" s="30"/>
      <c r="T959" s="30"/>
      <c r="U959" s="30"/>
      <c r="V959" s="30"/>
      <c r="W959" s="30"/>
      <c r="X959" s="30"/>
      <c r="Y959" s="30"/>
      <c r="Z959" s="30"/>
      <c r="AA959" s="30"/>
      <c r="AB959" s="30"/>
      <c r="AC959" s="30"/>
      <c r="AD959" s="30"/>
      <c r="AE959" s="30"/>
      <c r="AF959" s="30"/>
      <c r="AG959" s="30"/>
      <c r="AH959" s="30"/>
      <c r="AI959" s="30"/>
      <c r="AJ959" s="30"/>
      <c r="AK959" s="30"/>
      <c r="AL959" s="30"/>
      <c r="AM959" s="30"/>
      <c r="AN959" s="30"/>
      <c r="AO959" s="30"/>
      <c r="AP959" s="30"/>
      <c r="AQ959" s="30"/>
      <c r="AR959" s="30"/>
      <c r="AS959" s="30"/>
      <c r="AT959" s="30"/>
    </row>
    <row r="960" ht="12.75" customHeight="1">
      <c r="A960" s="30"/>
      <c r="B960" s="30"/>
      <c r="C960" s="30"/>
      <c r="D960" s="30"/>
      <c r="E960" s="30"/>
      <c r="F960" s="30"/>
      <c r="G960" s="44"/>
      <c r="H960" s="30"/>
      <c r="I960" s="30"/>
      <c r="J960" s="30"/>
      <c r="K960" s="30"/>
      <c r="L960" s="30"/>
      <c r="M960" s="30"/>
      <c r="N960" s="30"/>
      <c r="O960" s="30"/>
      <c r="P960" s="30"/>
      <c r="Q960" s="30"/>
      <c r="R960" s="30"/>
      <c r="S960" s="30"/>
      <c r="T960" s="30"/>
      <c r="U960" s="30"/>
      <c r="V960" s="30"/>
      <c r="W960" s="30"/>
      <c r="X960" s="30"/>
      <c r="Y960" s="30"/>
      <c r="Z960" s="30"/>
      <c r="AA960" s="30"/>
      <c r="AB960" s="30"/>
      <c r="AC960" s="30"/>
      <c r="AD960" s="30"/>
      <c r="AE960" s="30"/>
      <c r="AF960" s="30"/>
      <c r="AG960" s="30"/>
      <c r="AH960" s="30"/>
      <c r="AI960" s="30"/>
      <c r="AJ960" s="30"/>
      <c r="AK960" s="30"/>
      <c r="AL960" s="30"/>
      <c r="AM960" s="30"/>
      <c r="AN960" s="30"/>
      <c r="AO960" s="30"/>
      <c r="AP960" s="30"/>
      <c r="AQ960" s="30"/>
      <c r="AR960" s="30"/>
      <c r="AS960" s="30"/>
      <c r="AT960" s="30"/>
    </row>
    <row r="961" ht="12.75" customHeight="1">
      <c r="A961" s="30"/>
      <c r="B961" s="30"/>
      <c r="C961" s="30"/>
      <c r="D961" s="30"/>
      <c r="E961" s="30"/>
      <c r="F961" s="30"/>
      <c r="G961" s="44"/>
      <c r="H961" s="30"/>
      <c r="I961" s="30"/>
      <c r="J961" s="30"/>
      <c r="K961" s="30"/>
      <c r="L961" s="30"/>
      <c r="M961" s="30"/>
      <c r="N961" s="30"/>
      <c r="O961" s="30"/>
      <c r="P961" s="30"/>
      <c r="Q961" s="30"/>
      <c r="R961" s="30"/>
      <c r="S961" s="30"/>
      <c r="T961" s="30"/>
      <c r="U961" s="30"/>
      <c r="V961" s="30"/>
      <c r="W961" s="30"/>
      <c r="X961" s="30"/>
      <c r="Y961" s="30"/>
      <c r="Z961" s="30"/>
      <c r="AA961" s="30"/>
      <c r="AB961" s="30"/>
      <c r="AC961" s="30"/>
      <c r="AD961" s="30"/>
      <c r="AE961" s="30"/>
      <c r="AF961" s="30"/>
      <c r="AG961" s="30"/>
      <c r="AH961" s="30"/>
      <c r="AI961" s="30"/>
      <c r="AJ961" s="30"/>
      <c r="AK961" s="30"/>
      <c r="AL961" s="30"/>
      <c r="AM961" s="30"/>
      <c r="AN961" s="30"/>
      <c r="AO961" s="30"/>
      <c r="AP961" s="30"/>
      <c r="AQ961" s="30"/>
      <c r="AR961" s="30"/>
      <c r="AS961" s="30"/>
      <c r="AT961" s="30"/>
    </row>
    <row r="962" ht="12.75" customHeight="1">
      <c r="A962" s="30"/>
      <c r="B962" s="30"/>
      <c r="C962" s="30"/>
      <c r="D962" s="30"/>
      <c r="E962" s="30"/>
      <c r="F962" s="30"/>
      <c r="G962" s="44"/>
      <c r="H962" s="30"/>
      <c r="I962" s="30"/>
      <c r="J962" s="30"/>
      <c r="K962" s="30"/>
      <c r="L962" s="30"/>
      <c r="M962" s="30"/>
      <c r="N962" s="30"/>
      <c r="O962" s="30"/>
      <c r="P962" s="30"/>
      <c r="Q962" s="30"/>
      <c r="R962" s="30"/>
      <c r="S962" s="30"/>
      <c r="T962" s="30"/>
      <c r="U962" s="30"/>
      <c r="V962" s="30"/>
      <c r="W962" s="30"/>
      <c r="X962" s="30"/>
      <c r="Y962" s="30"/>
      <c r="Z962" s="30"/>
      <c r="AA962" s="30"/>
      <c r="AB962" s="30"/>
      <c r="AC962" s="30"/>
      <c r="AD962" s="30"/>
      <c r="AE962" s="30"/>
      <c r="AF962" s="30"/>
      <c r="AG962" s="30"/>
      <c r="AH962" s="30"/>
      <c r="AI962" s="30"/>
      <c r="AJ962" s="30"/>
      <c r="AK962" s="30"/>
      <c r="AL962" s="30"/>
      <c r="AM962" s="30"/>
      <c r="AN962" s="30"/>
      <c r="AO962" s="30"/>
      <c r="AP962" s="30"/>
      <c r="AQ962" s="30"/>
      <c r="AR962" s="30"/>
      <c r="AS962" s="30"/>
      <c r="AT962" s="30"/>
    </row>
    <row r="963" ht="12.75" customHeight="1">
      <c r="A963" s="30"/>
      <c r="B963" s="30"/>
      <c r="C963" s="30"/>
      <c r="D963" s="30"/>
      <c r="E963" s="30"/>
      <c r="F963" s="30"/>
      <c r="G963" s="44"/>
      <c r="H963" s="30"/>
      <c r="I963" s="30"/>
      <c r="J963" s="30"/>
      <c r="K963" s="30"/>
      <c r="L963" s="30"/>
      <c r="M963" s="30"/>
      <c r="N963" s="30"/>
      <c r="O963" s="30"/>
      <c r="P963" s="30"/>
      <c r="Q963" s="30"/>
      <c r="R963" s="30"/>
      <c r="S963" s="30"/>
      <c r="T963" s="30"/>
      <c r="U963" s="30"/>
      <c r="V963" s="30"/>
      <c r="W963" s="30"/>
      <c r="X963" s="30"/>
      <c r="Y963" s="30"/>
      <c r="Z963" s="30"/>
      <c r="AA963" s="30"/>
      <c r="AB963" s="30"/>
      <c r="AC963" s="30"/>
      <c r="AD963" s="30"/>
      <c r="AE963" s="30"/>
      <c r="AF963" s="30"/>
      <c r="AG963" s="30"/>
      <c r="AH963" s="30"/>
      <c r="AI963" s="30"/>
      <c r="AJ963" s="30"/>
      <c r="AK963" s="30"/>
      <c r="AL963" s="30"/>
      <c r="AM963" s="30"/>
      <c r="AN963" s="30"/>
      <c r="AO963" s="30"/>
      <c r="AP963" s="30"/>
      <c r="AQ963" s="30"/>
      <c r="AR963" s="30"/>
      <c r="AS963" s="30"/>
      <c r="AT963" s="30"/>
    </row>
    <row r="964" ht="12.75" customHeight="1">
      <c r="A964" s="30"/>
      <c r="B964" s="30"/>
      <c r="C964" s="30"/>
      <c r="D964" s="30"/>
      <c r="E964" s="30"/>
      <c r="F964" s="30"/>
      <c r="G964" s="44"/>
      <c r="H964" s="30"/>
      <c r="I964" s="30"/>
      <c r="J964" s="30"/>
      <c r="K964" s="30"/>
      <c r="L964" s="30"/>
      <c r="M964" s="30"/>
      <c r="N964" s="30"/>
      <c r="O964" s="30"/>
      <c r="P964" s="30"/>
      <c r="Q964" s="30"/>
      <c r="R964" s="30"/>
      <c r="S964" s="30"/>
      <c r="T964" s="30"/>
      <c r="U964" s="30"/>
      <c r="V964" s="30"/>
      <c r="W964" s="30"/>
      <c r="X964" s="30"/>
      <c r="Y964" s="30"/>
      <c r="Z964" s="30"/>
      <c r="AA964" s="30"/>
      <c r="AB964" s="30"/>
      <c r="AC964" s="30"/>
      <c r="AD964" s="30"/>
      <c r="AE964" s="30"/>
      <c r="AF964" s="30"/>
      <c r="AG964" s="30"/>
      <c r="AH964" s="30"/>
      <c r="AI964" s="30"/>
      <c r="AJ964" s="30"/>
      <c r="AK964" s="30"/>
      <c r="AL964" s="30"/>
      <c r="AM964" s="30"/>
      <c r="AN964" s="30"/>
      <c r="AO964" s="30"/>
      <c r="AP964" s="30"/>
      <c r="AQ964" s="30"/>
      <c r="AR964" s="30"/>
      <c r="AS964" s="30"/>
      <c r="AT964" s="30"/>
    </row>
    <row r="965" ht="12.75" customHeight="1">
      <c r="A965" s="30"/>
      <c r="B965" s="30"/>
      <c r="C965" s="30"/>
      <c r="D965" s="30"/>
      <c r="E965" s="30"/>
      <c r="F965" s="30"/>
      <c r="G965" s="44"/>
      <c r="H965" s="30"/>
      <c r="I965" s="30"/>
      <c r="J965" s="30"/>
      <c r="K965" s="30"/>
      <c r="L965" s="30"/>
      <c r="M965" s="30"/>
      <c r="N965" s="30"/>
      <c r="O965" s="30"/>
      <c r="P965" s="30"/>
      <c r="Q965" s="30"/>
      <c r="R965" s="30"/>
      <c r="S965" s="30"/>
      <c r="T965" s="30"/>
      <c r="U965" s="30"/>
      <c r="V965" s="30"/>
      <c r="W965" s="30"/>
      <c r="X965" s="30"/>
      <c r="Y965" s="30"/>
      <c r="Z965" s="30"/>
      <c r="AA965" s="30"/>
      <c r="AB965" s="30"/>
      <c r="AC965" s="30"/>
      <c r="AD965" s="30"/>
      <c r="AE965" s="30"/>
      <c r="AF965" s="30"/>
      <c r="AG965" s="30"/>
      <c r="AH965" s="30"/>
      <c r="AI965" s="30"/>
      <c r="AJ965" s="30"/>
      <c r="AK965" s="30"/>
      <c r="AL965" s="30"/>
      <c r="AM965" s="30"/>
      <c r="AN965" s="30"/>
      <c r="AO965" s="30"/>
      <c r="AP965" s="30"/>
      <c r="AQ965" s="30"/>
      <c r="AR965" s="30"/>
      <c r="AS965" s="30"/>
      <c r="AT965" s="30"/>
    </row>
    <row r="966" ht="12.75" customHeight="1">
      <c r="A966" s="30"/>
      <c r="B966" s="30"/>
      <c r="C966" s="30"/>
      <c r="D966" s="30"/>
      <c r="E966" s="30"/>
      <c r="F966" s="30"/>
      <c r="G966" s="44"/>
      <c r="H966" s="30"/>
      <c r="I966" s="30"/>
      <c r="J966" s="30"/>
      <c r="K966" s="30"/>
      <c r="L966" s="30"/>
      <c r="M966" s="30"/>
      <c r="N966" s="30"/>
      <c r="O966" s="30"/>
      <c r="P966" s="30"/>
      <c r="Q966" s="30"/>
      <c r="R966" s="30"/>
      <c r="S966" s="30"/>
      <c r="T966" s="30"/>
      <c r="U966" s="30"/>
      <c r="V966" s="30"/>
      <c r="W966" s="30"/>
      <c r="X966" s="30"/>
      <c r="Y966" s="30"/>
      <c r="Z966" s="30"/>
      <c r="AA966" s="30"/>
      <c r="AB966" s="30"/>
      <c r="AC966" s="30"/>
      <c r="AD966" s="30"/>
      <c r="AE966" s="30"/>
      <c r="AF966" s="30"/>
      <c r="AG966" s="30"/>
      <c r="AH966" s="30"/>
      <c r="AI966" s="30"/>
      <c r="AJ966" s="30"/>
      <c r="AK966" s="30"/>
      <c r="AL966" s="30"/>
      <c r="AM966" s="30"/>
      <c r="AN966" s="30"/>
      <c r="AO966" s="30"/>
      <c r="AP966" s="30"/>
      <c r="AQ966" s="30"/>
      <c r="AR966" s="30"/>
      <c r="AS966" s="30"/>
      <c r="AT966" s="30"/>
    </row>
    <row r="967" ht="12.75" customHeight="1">
      <c r="A967" s="30"/>
      <c r="B967" s="30"/>
      <c r="C967" s="30"/>
      <c r="D967" s="30"/>
      <c r="E967" s="30"/>
      <c r="F967" s="30"/>
      <c r="G967" s="44"/>
      <c r="H967" s="30"/>
      <c r="I967" s="30"/>
      <c r="J967" s="30"/>
      <c r="K967" s="30"/>
      <c r="L967" s="30"/>
      <c r="M967" s="30"/>
      <c r="N967" s="30"/>
      <c r="O967" s="30"/>
      <c r="P967" s="30"/>
      <c r="Q967" s="30"/>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c r="AQ967" s="30"/>
      <c r="AR967" s="30"/>
      <c r="AS967" s="30"/>
      <c r="AT967" s="30"/>
    </row>
    <row r="968" ht="12.75" customHeight="1">
      <c r="A968" s="30"/>
      <c r="B968" s="30"/>
      <c r="C968" s="30"/>
      <c r="D968" s="30"/>
      <c r="E968" s="30"/>
      <c r="F968" s="30"/>
      <c r="G968" s="44"/>
      <c r="H968" s="30"/>
      <c r="I968" s="30"/>
      <c r="J968" s="30"/>
      <c r="K968" s="30"/>
      <c r="L968" s="30"/>
      <c r="M968" s="30"/>
      <c r="N968" s="30"/>
      <c r="O968" s="30"/>
      <c r="P968" s="30"/>
      <c r="Q968" s="30"/>
      <c r="R968" s="30"/>
      <c r="S968" s="30"/>
      <c r="T968" s="30"/>
      <c r="U968" s="30"/>
      <c r="V968" s="30"/>
      <c r="W968" s="30"/>
      <c r="X968" s="30"/>
      <c r="Y968" s="30"/>
      <c r="Z968" s="30"/>
      <c r="AA968" s="30"/>
      <c r="AB968" s="30"/>
      <c r="AC968" s="30"/>
      <c r="AD968" s="30"/>
      <c r="AE968" s="30"/>
      <c r="AF968" s="30"/>
      <c r="AG968" s="30"/>
      <c r="AH968" s="30"/>
      <c r="AI968" s="30"/>
      <c r="AJ968" s="30"/>
      <c r="AK968" s="30"/>
      <c r="AL968" s="30"/>
      <c r="AM968" s="30"/>
      <c r="AN968" s="30"/>
      <c r="AO968" s="30"/>
      <c r="AP968" s="30"/>
      <c r="AQ968" s="30"/>
      <c r="AR968" s="30"/>
      <c r="AS968" s="30"/>
      <c r="AT968" s="30"/>
    </row>
    <row r="969" ht="12.75" customHeight="1">
      <c r="A969" s="30"/>
      <c r="B969" s="30"/>
      <c r="C969" s="30"/>
      <c r="D969" s="30"/>
      <c r="E969" s="30"/>
      <c r="F969" s="30"/>
      <c r="G969" s="44"/>
      <c r="H969" s="30"/>
      <c r="I969" s="30"/>
      <c r="J969" s="30"/>
      <c r="K969" s="30"/>
      <c r="L969" s="30"/>
      <c r="M969" s="30"/>
      <c r="N969" s="30"/>
      <c r="O969" s="30"/>
      <c r="P969" s="30"/>
      <c r="Q969" s="30"/>
      <c r="R969" s="30"/>
      <c r="S969" s="30"/>
      <c r="T969" s="30"/>
      <c r="U969" s="30"/>
      <c r="V969" s="30"/>
      <c r="W969" s="30"/>
      <c r="X969" s="30"/>
      <c r="Y969" s="30"/>
      <c r="Z969" s="30"/>
      <c r="AA969" s="30"/>
      <c r="AB969" s="30"/>
      <c r="AC969" s="30"/>
      <c r="AD969" s="30"/>
      <c r="AE969" s="30"/>
      <c r="AF969" s="30"/>
      <c r="AG969" s="30"/>
      <c r="AH969" s="30"/>
      <c r="AI969" s="30"/>
      <c r="AJ969" s="30"/>
      <c r="AK969" s="30"/>
      <c r="AL969" s="30"/>
      <c r="AM969" s="30"/>
      <c r="AN969" s="30"/>
      <c r="AO969" s="30"/>
      <c r="AP969" s="30"/>
      <c r="AQ969" s="30"/>
      <c r="AR969" s="30"/>
      <c r="AS969" s="30"/>
      <c r="AT969" s="30"/>
    </row>
    <row r="970" ht="12.75" customHeight="1">
      <c r="A970" s="30"/>
      <c r="B970" s="30"/>
      <c r="C970" s="30"/>
      <c r="D970" s="30"/>
      <c r="E970" s="30"/>
      <c r="F970" s="30"/>
      <c r="G970" s="44"/>
      <c r="H970" s="30"/>
      <c r="I970" s="30"/>
      <c r="J970" s="30"/>
      <c r="K970" s="30"/>
      <c r="L970" s="30"/>
      <c r="M970" s="30"/>
      <c r="N970" s="30"/>
      <c r="O970" s="30"/>
      <c r="P970" s="30"/>
      <c r="Q970" s="30"/>
      <c r="R970" s="30"/>
      <c r="S970" s="30"/>
      <c r="T970" s="30"/>
      <c r="U970" s="30"/>
      <c r="V970" s="30"/>
      <c r="W970" s="30"/>
      <c r="X970" s="30"/>
      <c r="Y970" s="30"/>
      <c r="Z970" s="30"/>
      <c r="AA970" s="30"/>
      <c r="AB970" s="30"/>
      <c r="AC970" s="30"/>
      <c r="AD970" s="30"/>
      <c r="AE970" s="30"/>
      <c r="AF970" s="30"/>
      <c r="AG970" s="30"/>
      <c r="AH970" s="30"/>
      <c r="AI970" s="30"/>
      <c r="AJ970" s="30"/>
      <c r="AK970" s="30"/>
      <c r="AL970" s="30"/>
      <c r="AM970" s="30"/>
      <c r="AN970" s="30"/>
      <c r="AO970" s="30"/>
      <c r="AP970" s="30"/>
      <c r="AQ970" s="30"/>
      <c r="AR970" s="30"/>
      <c r="AS970" s="30"/>
      <c r="AT970" s="30"/>
    </row>
    <row r="971" ht="12.75" customHeight="1">
      <c r="A971" s="30"/>
      <c r="B971" s="30"/>
      <c r="C971" s="30"/>
      <c r="D971" s="30"/>
      <c r="E971" s="30"/>
      <c r="F971" s="30"/>
      <c r="G971" s="44"/>
      <c r="H971" s="30"/>
      <c r="I971" s="30"/>
      <c r="J971" s="30"/>
      <c r="K971" s="30"/>
      <c r="L971" s="30"/>
      <c r="M971" s="30"/>
      <c r="N971" s="30"/>
      <c r="O971" s="30"/>
      <c r="P971" s="30"/>
      <c r="Q971" s="30"/>
      <c r="R971" s="30"/>
      <c r="S971" s="30"/>
      <c r="T971" s="30"/>
      <c r="U971" s="30"/>
      <c r="V971" s="30"/>
      <c r="W971" s="30"/>
      <c r="X971" s="30"/>
      <c r="Y971" s="30"/>
      <c r="Z971" s="30"/>
      <c r="AA971" s="30"/>
      <c r="AB971" s="30"/>
      <c r="AC971" s="30"/>
      <c r="AD971" s="30"/>
      <c r="AE971" s="30"/>
      <c r="AF971" s="30"/>
      <c r="AG971" s="30"/>
      <c r="AH971" s="30"/>
      <c r="AI971" s="30"/>
      <c r="AJ971" s="30"/>
      <c r="AK971" s="30"/>
      <c r="AL971" s="30"/>
      <c r="AM971" s="30"/>
      <c r="AN971" s="30"/>
      <c r="AO971" s="30"/>
      <c r="AP971" s="30"/>
      <c r="AQ971" s="30"/>
      <c r="AR971" s="30"/>
      <c r="AS971" s="30"/>
      <c r="AT971" s="30"/>
    </row>
    <row r="972" ht="12.75" customHeight="1">
      <c r="A972" s="30"/>
      <c r="B972" s="30"/>
      <c r="C972" s="30"/>
      <c r="D972" s="30"/>
      <c r="E972" s="30"/>
      <c r="F972" s="30"/>
      <c r="G972" s="44"/>
      <c r="H972" s="30"/>
      <c r="I972" s="30"/>
      <c r="J972" s="30"/>
      <c r="K972" s="30"/>
      <c r="L972" s="30"/>
      <c r="M972" s="30"/>
      <c r="N972" s="30"/>
      <c r="O972" s="30"/>
      <c r="P972" s="30"/>
      <c r="Q972" s="30"/>
      <c r="R972" s="30"/>
      <c r="S972" s="30"/>
      <c r="T972" s="30"/>
      <c r="U972" s="30"/>
      <c r="V972" s="30"/>
      <c r="W972" s="30"/>
      <c r="X972" s="30"/>
      <c r="Y972" s="30"/>
      <c r="Z972" s="30"/>
      <c r="AA972" s="30"/>
      <c r="AB972" s="30"/>
      <c r="AC972" s="30"/>
      <c r="AD972" s="30"/>
      <c r="AE972" s="30"/>
      <c r="AF972" s="30"/>
      <c r="AG972" s="30"/>
      <c r="AH972" s="30"/>
      <c r="AI972" s="30"/>
      <c r="AJ972" s="30"/>
      <c r="AK972" s="30"/>
      <c r="AL972" s="30"/>
      <c r="AM972" s="30"/>
      <c r="AN972" s="30"/>
      <c r="AO972" s="30"/>
      <c r="AP972" s="30"/>
      <c r="AQ972" s="30"/>
      <c r="AR972" s="30"/>
      <c r="AS972" s="30"/>
      <c r="AT972" s="30"/>
    </row>
    <row r="973" ht="12.75" customHeight="1">
      <c r="A973" s="30"/>
      <c r="B973" s="30"/>
      <c r="C973" s="30"/>
      <c r="D973" s="30"/>
      <c r="E973" s="30"/>
      <c r="F973" s="30"/>
      <c r="G973" s="44"/>
      <c r="H973" s="30"/>
      <c r="I973" s="30"/>
      <c r="J973" s="30"/>
      <c r="K973" s="30"/>
      <c r="L973" s="30"/>
      <c r="M973" s="30"/>
      <c r="N973" s="30"/>
      <c r="O973" s="30"/>
      <c r="P973" s="30"/>
      <c r="Q973" s="30"/>
      <c r="R973" s="30"/>
      <c r="S973" s="30"/>
      <c r="T973" s="30"/>
      <c r="U973" s="30"/>
      <c r="V973" s="30"/>
      <c r="W973" s="30"/>
      <c r="X973" s="30"/>
      <c r="Y973" s="30"/>
      <c r="Z973" s="30"/>
      <c r="AA973" s="30"/>
      <c r="AB973" s="30"/>
      <c r="AC973" s="30"/>
      <c r="AD973" s="30"/>
      <c r="AE973" s="30"/>
      <c r="AF973" s="30"/>
      <c r="AG973" s="30"/>
      <c r="AH973" s="30"/>
      <c r="AI973" s="30"/>
      <c r="AJ973" s="30"/>
      <c r="AK973" s="30"/>
      <c r="AL973" s="30"/>
      <c r="AM973" s="30"/>
      <c r="AN973" s="30"/>
      <c r="AO973" s="30"/>
      <c r="AP973" s="30"/>
      <c r="AQ973" s="30"/>
      <c r="AR973" s="30"/>
      <c r="AS973" s="30"/>
      <c r="AT973" s="30"/>
    </row>
    <row r="974" ht="12.75" customHeight="1">
      <c r="A974" s="30"/>
      <c r="B974" s="30"/>
      <c r="C974" s="30"/>
      <c r="D974" s="30"/>
      <c r="E974" s="30"/>
      <c r="F974" s="30"/>
      <c r="G974" s="44"/>
      <c r="H974" s="30"/>
      <c r="I974" s="30"/>
      <c r="J974" s="30"/>
      <c r="K974" s="30"/>
      <c r="L974" s="30"/>
      <c r="M974" s="30"/>
      <c r="N974" s="30"/>
      <c r="O974" s="30"/>
      <c r="P974" s="30"/>
      <c r="Q974" s="30"/>
      <c r="R974" s="30"/>
      <c r="S974" s="30"/>
      <c r="T974" s="30"/>
      <c r="U974" s="30"/>
      <c r="V974" s="30"/>
      <c r="W974" s="30"/>
      <c r="X974" s="30"/>
      <c r="Y974" s="30"/>
      <c r="Z974" s="30"/>
      <c r="AA974" s="30"/>
      <c r="AB974" s="30"/>
      <c r="AC974" s="30"/>
      <c r="AD974" s="30"/>
      <c r="AE974" s="30"/>
      <c r="AF974" s="30"/>
      <c r="AG974" s="30"/>
      <c r="AH974" s="30"/>
      <c r="AI974" s="30"/>
      <c r="AJ974" s="30"/>
      <c r="AK974" s="30"/>
      <c r="AL974" s="30"/>
      <c r="AM974" s="30"/>
      <c r="AN974" s="30"/>
      <c r="AO974" s="30"/>
      <c r="AP974" s="30"/>
      <c r="AQ974" s="30"/>
      <c r="AR974" s="30"/>
      <c r="AS974" s="30"/>
      <c r="AT974" s="30"/>
    </row>
    <row r="975" ht="12.75" customHeight="1">
      <c r="A975" s="30"/>
      <c r="B975" s="30"/>
      <c r="C975" s="30"/>
      <c r="D975" s="30"/>
      <c r="E975" s="30"/>
      <c r="F975" s="30"/>
      <c r="G975" s="44"/>
      <c r="H975" s="30"/>
      <c r="I975" s="30"/>
      <c r="J975" s="30"/>
      <c r="K975" s="30"/>
      <c r="L975" s="30"/>
      <c r="M975" s="30"/>
      <c r="N975" s="30"/>
      <c r="O975" s="30"/>
      <c r="P975" s="30"/>
      <c r="Q975" s="30"/>
      <c r="R975" s="30"/>
      <c r="S975" s="30"/>
      <c r="T975" s="30"/>
      <c r="U975" s="30"/>
      <c r="V975" s="30"/>
      <c r="W975" s="30"/>
      <c r="X975" s="30"/>
      <c r="Y975" s="30"/>
      <c r="Z975" s="30"/>
      <c r="AA975" s="30"/>
      <c r="AB975" s="30"/>
      <c r="AC975" s="30"/>
      <c r="AD975" s="30"/>
      <c r="AE975" s="30"/>
      <c r="AF975" s="30"/>
      <c r="AG975" s="30"/>
      <c r="AH975" s="30"/>
      <c r="AI975" s="30"/>
      <c r="AJ975" s="30"/>
      <c r="AK975" s="30"/>
      <c r="AL975" s="30"/>
      <c r="AM975" s="30"/>
      <c r="AN975" s="30"/>
      <c r="AO975" s="30"/>
      <c r="AP975" s="30"/>
      <c r="AQ975" s="30"/>
      <c r="AR975" s="30"/>
      <c r="AS975" s="30"/>
      <c r="AT975" s="30"/>
    </row>
    <row r="976" ht="12.75" customHeight="1">
      <c r="A976" s="30"/>
      <c r="B976" s="30"/>
      <c r="C976" s="30"/>
      <c r="D976" s="30"/>
      <c r="E976" s="30"/>
      <c r="F976" s="30"/>
      <c r="G976" s="44"/>
      <c r="H976" s="30"/>
      <c r="I976" s="30"/>
      <c r="J976" s="30"/>
      <c r="K976" s="30"/>
      <c r="L976" s="30"/>
      <c r="M976" s="30"/>
      <c r="N976" s="30"/>
      <c r="O976" s="30"/>
      <c r="P976" s="30"/>
      <c r="Q976" s="30"/>
      <c r="R976" s="30"/>
      <c r="S976" s="30"/>
      <c r="T976" s="30"/>
      <c r="U976" s="30"/>
      <c r="V976" s="30"/>
      <c r="W976" s="30"/>
      <c r="X976" s="30"/>
      <c r="Y976" s="30"/>
      <c r="Z976" s="30"/>
      <c r="AA976" s="30"/>
      <c r="AB976" s="30"/>
      <c r="AC976" s="30"/>
      <c r="AD976" s="30"/>
      <c r="AE976" s="30"/>
      <c r="AF976" s="30"/>
      <c r="AG976" s="30"/>
      <c r="AH976" s="30"/>
      <c r="AI976" s="30"/>
      <c r="AJ976" s="30"/>
      <c r="AK976" s="30"/>
      <c r="AL976" s="30"/>
      <c r="AM976" s="30"/>
      <c r="AN976" s="30"/>
      <c r="AO976" s="30"/>
      <c r="AP976" s="30"/>
      <c r="AQ976" s="30"/>
      <c r="AR976" s="30"/>
      <c r="AS976" s="30"/>
      <c r="AT976" s="30"/>
    </row>
    <row r="977" ht="12.75" customHeight="1">
      <c r="A977" s="30"/>
      <c r="B977" s="30"/>
      <c r="C977" s="30"/>
      <c r="D977" s="30"/>
      <c r="E977" s="30"/>
      <c r="F977" s="30"/>
      <c r="G977" s="44"/>
      <c r="H977" s="30"/>
      <c r="I977" s="30"/>
      <c r="J977" s="30"/>
      <c r="K977" s="30"/>
      <c r="L977" s="30"/>
      <c r="M977" s="30"/>
      <c r="N977" s="30"/>
      <c r="O977" s="30"/>
      <c r="P977" s="30"/>
      <c r="Q977" s="30"/>
      <c r="R977" s="30"/>
      <c r="S977" s="30"/>
      <c r="T977" s="30"/>
      <c r="U977" s="30"/>
      <c r="V977" s="30"/>
      <c r="W977" s="30"/>
      <c r="X977" s="30"/>
      <c r="Y977" s="30"/>
      <c r="Z977" s="30"/>
      <c r="AA977" s="30"/>
      <c r="AB977" s="30"/>
      <c r="AC977" s="30"/>
      <c r="AD977" s="30"/>
      <c r="AE977" s="30"/>
      <c r="AF977" s="30"/>
      <c r="AG977" s="30"/>
      <c r="AH977" s="30"/>
      <c r="AI977" s="30"/>
      <c r="AJ977" s="30"/>
      <c r="AK977" s="30"/>
      <c r="AL977" s="30"/>
      <c r="AM977" s="30"/>
      <c r="AN977" s="30"/>
      <c r="AO977" s="30"/>
      <c r="AP977" s="30"/>
      <c r="AQ977" s="30"/>
      <c r="AR977" s="30"/>
      <c r="AS977" s="30"/>
      <c r="AT977" s="30"/>
    </row>
    <row r="978" ht="12.75" customHeight="1">
      <c r="A978" s="30"/>
      <c r="B978" s="30"/>
      <c r="C978" s="30"/>
      <c r="D978" s="30"/>
      <c r="E978" s="30"/>
      <c r="F978" s="30"/>
      <c r="G978" s="44"/>
      <c r="H978" s="30"/>
      <c r="I978" s="30"/>
      <c r="J978" s="30"/>
      <c r="K978" s="30"/>
      <c r="L978" s="30"/>
      <c r="M978" s="30"/>
      <c r="N978" s="30"/>
      <c r="O978" s="30"/>
      <c r="P978" s="30"/>
      <c r="Q978" s="30"/>
      <c r="R978" s="30"/>
      <c r="S978" s="30"/>
      <c r="T978" s="30"/>
      <c r="U978" s="30"/>
      <c r="V978" s="30"/>
      <c r="W978" s="30"/>
      <c r="X978" s="30"/>
      <c r="Y978" s="30"/>
      <c r="Z978" s="30"/>
      <c r="AA978" s="30"/>
      <c r="AB978" s="30"/>
      <c r="AC978" s="30"/>
      <c r="AD978" s="30"/>
      <c r="AE978" s="30"/>
      <c r="AF978" s="30"/>
      <c r="AG978" s="30"/>
      <c r="AH978" s="30"/>
      <c r="AI978" s="30"/>
      <c r="AJ978" s="30"/>
      <c r="AK978" s="30"/>
      <c r="AL978" s="30"/>
      <c r="AM978" s="30"/>
      <c r="AN978" s="30"/>
      <c r="AO978" s="30"/>
      <c r="AP978" s="30"/>
      <c r="AQ978" s="30"/>
      <c r="AR978" s="30"/>
      <c r="AS978" s="30"/>
      <c r="AT978" s="30"/>
    </row>
    <row r="979" ht="12.75" customHeight="1">
      <c r="A979" s="30"/>
      <c r="B979" s="30"/>
      <c r="C979" s="30"/>
      <c r="D979" s="30"/>
      <c r="E979" s="30"/>
      <c r="F979" s="30"/>
      <c r="G979" s="44"/>
      <c r="H979" s="30"/>
      <c r="I979" s="30"/>
      <c r="J979" s="30"/>
      <c r="K979" s="30"/>
      <c r="L979" s="30"/>
      <c r="M979" s="30"/>
      <c r="N979" s="30"/>
      <c r="O979" s="30"/>
      <c r="P979" s="30"/>
      <c r="Q979" s="30"/>
      <c r="R979" s="30"/>
      <c r="S979" s="30"/>
      <c r="T979" s="30"/>
      <c r="U979" s="30"/>
      <c r="V979" s="30"/>
      <c r="W979" s="30"/>
      <c r="X979" s="30"/>
      <c r="Y979" s="30"/>
      <c r="Z979" s="30"/>
      <c r="AA979" s="30"/>
      <c r="AB979" s="30"/>
      <c r="AC979" s="30"/>
      <c r="AD979" s="30"/>
      <c r="AE979" s="30"/>
      <c r="AF979" s="30"/>
      <c r="AG979" s="30"/>
      <c r="AH979" s="30"/>
      <c r="AI979" s="30"/>
      <c r="AJ979" s="30"/>
      <c r="AK979" s="30"/>
      <c r="AL979" s="30"/>
      <c r="AM979" s="30"/>
      <c r="AN979" s="30"/>
      <c r="AO979" s="30"/>
      <c r="AP979" s="30"/>
      <c r="AQ979" s="30"/>
      <c r="AR979" s="30"/>
      <c r="AS979" s="30"/>
      <c r="AT979" s="30"/>
    </row>
    <row r="980" ht="12.75" customHeight="1">
      <c r="A980" s="30"/>
      <c r="B980" s="30"/>
      <c r="C980" s="30"/>
      <c r="D980" s="30"/>
      <c r="E980" s="30"/>
      <c r="F980" s="30"/>
      <c r="G980" s="44"/>
      <c r="H980" s="30"/>
      <c r="I980" s="30"/>
      <c r="J980" s="30"/>
      <c r="K980" s="30"/>
      <c r="L980" s="30"/>
      <c r="M980" s="30"/>
      <c r="N980" s="30"/>
      <c r="O980" s="30"/>
      <c r="P980" s="30"/>
      <c r="Q980" s="30"/>
      <c r="R980" s="30"/>
      <c r="S980" s="30"/>
      <c r="T980" s="30"/>
      <c r="U980" s="30"/>
      <c r="V980" s="30"/>
      <c r="W980" s="30"/>
      <c r="X980" s="30"/>
      <c r="Y980" s="30"/>
      <c r="Z980" s="30"/>
      <c r="AA980" s="30"/>
      <c r="AB980" s="30"/>
      <c r="AC980" s="30"/>
      <c r="AD980" s="30"/>
      <c r="AE980" s="30"/>
      <c r="AF980" s="30"/>
      <c r="AG980" s="30"/>
      <c r="AH980" s="30"/>
      <c r="AI980" s="30"/>
      <c r="AJ980" s="30"/>
      <c r="AK980" s="30"/>
      <c r="AL980" s="30"/>
      <c r="AM980" s="30"/>
      <c r="AN980" s="30"/>
      <c r="AO980" s="30"/>
      <c r="AP980" s="30"/>
      <c r="AQ980" s="30"/>
      <c r="AR980" s="30"/>
      <c r="AS980" s="30"/>
      <c r="AT980" s="30"/>
    </row>
    <row r="981" ht="12.75" customHeight="1">
      <c r="A981" s="30"/>
      <c r="B981" s="30"/>
      <c r="C981" s="30"/>
      <c r="D981" s="30"/>
      <c r="E981" s="30"/>
      <c r="F981" s="30"/>
      <c r="G981" s="44"/>
      <c r="H981" s="30"/>
      <c r="I981" s="30"/>
      <c r="J981" s="30"/>
      <c r="K981" s="30"/>
      <c r="L981" s="30"/>
      <c r="M981" s="30"/>
      <c r="N981" s="30"/>
      <c r="O981" s="30"/>
      <c r="P981" s="30"/>
      <c r="Q981" s="30"/>
      <c r="R981" s="30"/>
      <c r="S981" s="30"/>
      <c r="T981" s="30"/>
      <c r="U981" s="30"/>
      <c r="V981" s="30"/>
      <c r="W981" s="30"/>
      <c r="X981" s="30"/>
      <c r="Y981" s="30"/>
      <c r="Z981" s="30"/>
      <c r="AA981" s="30"/>
      <c r="AB981" s="30"/>
      <c r="AC981" s="30"/>
      <c r="AD981" s="30"/>
      <c r="AE981" s="30"/>
      <c r="AF981" s="30"/>
      <c r="AG981" s="30"/>
      <c r="AH981" s="30"/>
      <c r="AI981" s="30"/>
      <c r="AJ981" s="30"/>
      <c r="AK981" s="30"/>
      <c r="AL981" s="30"/>
      <c r="AM981" s="30"/>
      <c r="AN981" s="30"/>
      <c r="AO981" s="30"/>
      <c r="AP981" s="30"/>
      <c r="AQ981" s="30"/>
      <c r="AR981" s="30"/>
      <c r="AS981" s="30"/>
      <c r="AT981" s="30"/>
    </row>
    <row r="982" ht="12.75" customHeight="1">
      <c r="A982" s="30"/>
      <c r="B982" s="30"/>
      <c r="C982" s="30"/>
      <c r="D982" s="30"/>
      <c r="E982" s="30"/>
      <c r="F982" s="30"/>
      <c r="G982" s="44"/>
      <c r="H982" s="30"/>
      <c r="I982" s="30"/>
      <c r="J982" s="30"/>
      <c r="K982" s="30"/>
      <c r="L982" s="30"/>
      <c r="M982" s="30"/>
      <c r="N982" s="30"/>
      <c r="O982" s="30"/>
      <c r="P982" s="30"/>
      <c r="Q982" s="30"/>
      <c r="R982" s="30"/>
      <c r="S982" s="30"/>
      <c r="T982" s="30"/>
      <c r="U982" s="30"/>
      <c r="V982" s="30"/>
      <c r="W982" s="30"/>
      <c r="X982" s="30"/>
      <c r="Y982" s="30"/>
      <c r="Z982" s="30"/>
      <c r="AA982" s="30"/>
      <c r="AB982" s="30"/>
      <c r="AC982" s="30"/>
      <c r="AD982" s="30"/>
      <c r="AE982" s="30"/>
      <c r="AF982" s="30"/>
      <c r="AG982" s="30"/>
      <c r="AH982" s="30"/>
      <c r="AI982" s="30"/>
      <c r="AJ982" s="30"/>
      <c r="AK982" s="30"/>
      <c r="AL982" s="30"/>
      <c r="AM982" s="30"/>
      <c r="AN982" s="30"/>
      <c r="AO982" s="30"/>
      <c r="AP982" s="30"/>
      <c r="AQ982" s="30"/>
      <c r="AR982" s="30"/>
      <c r="AS982" s="30"/>
      <c r="AT982" s="30"/>
    </row>
    <row r="983" ht="12.75" customHeight="1">
      <c r="A983" s="30"/>
      <c r="B983" s="30"/>
      <c r="C983" s="30"/>
      <c r="D983" s="30"/>
      <c r="E983" s="30"/>
      <c r="F983" s="30"/>
      <c r="G983" s="44"/>
      <c r="H983" s="30"/>
      <c r="I983" s="30"/>
      <c r="J983" s="30"/>
      <c r="K983" s="30"/>
      <c r="L983" s="30"/>
      <c r="M983" s="30"/>
      <c r="N983" s="30"/>
      <c r="O983" s="30"/>
      <c r="P983" s="30"/>
      <c r="Q983" s="30"/>
      <c r="R983" s="30"/>
      <c r="S983" s="30"/>
      <c r="T983" s="30"/>
      <c r="U983" s="30"/>
      <c r="V983" s="30"/>
      <c r="W983" s="30"/>
      <c r="X983" s="30"/>
      <c r="Y983" s="30"/>
      <c r="Z983" s="30"/>
      <c r="AA983" s="30"/>
      <c r="AB983" s="30"/>
      <c r="AC983" s="30"/>
      <c r="AD983" s="30"/>
      <c r="AE983" s="30"/>
      <c r="AF983" s="30"/>
      <c r="AG983" s="30"/>
      <c r="AH983" s="30"/>
      <c r="AI983" s="30"/>
      <c r="AJ983" s="30"/>
      <c r="AK983" s="30"/>
      <c r="AL983" s="30"/>
      <c r="AM983" s="30"/>
      <c r="AN983" s="30"/>
      <c r="AO983" s="30"/>
      <c r="AP983" s="30"/>
      <c r="AQ983" s="30"/>
      <c r="AR983" s="30"/>
      <c r="AS983" s="30"/>
      <c r="AT983" s="30"/>
    </row>
    <row r="984" ht="12.75" customHeight="1">
      <c r="A984" s="30"/>
      <c r="B984" s="30"/>
      <c r="C984" s="30"/>
      <c r="D984" s="30"/>
      <c r="E984" s="30"/>
      <c r="F984" s="30"/>
      <c r="G984" s="44"/>
      <c r="H984" s="30"/>
      <c r="I984" s="30"/>
      <c r="J984" s="30"/>
      <c r="K984" s="30"/>
      <c r="L984" s="30"/>
      <c r="M984" s="30"/>
      <c r="N984" s="30"/>
      <c r="O984" s="30"/>
      <c r="P984" s="30"/>
      <c r="Q984" s="30"/>
      <c r="R984" s="30"/>
      <c r="S984" s="30"/>
      <c r="T984" s="30"/>
      <c r="U984" s="30"/>
      <c r="V984" s="30"/>
      <c r="W984" s="30"/>
      <c r="X984" s="30"/>
      <c r="Y984" s="30"/>
      <c r="Z984" s="30"/>
      <c r="AA984" s="30"/>
      <c r="AB984" s="30"/>
      <c r="AC984" s="30"/>
      <c r="AD984" s="30"/>
      <c r="AE984" s="30"/>
      <c r="AF984" s="30"/>
      <c r="AG984" s="30"/>
      <c r="AH984" s="30"/>
      <c r="AI984" s="30"/>
      <c r="AJ984" s="30"/>
      <c r="AK984" s="30"/>
      <c r="AL984" s="30"/>
      <c r="AM984" s="30"/>
      <c r="AN984" s="30"/>
      <c r="AO984" s="30"/>
      <c r="AP984" s="30"/>
      <c r="AQ984" s="30"/>
      <c r="AR984" s="30"/>
      <c r="AS984" s="30"/>
      <c r="AT984" s="30"/>
    </row>
    <row r="985" ht="12.75" customHeight="1">
      <c r="A985" s="30"/>
      <c r="B985" s="30"/>
      <c r="C985" s="30"/>
      <c r="D985" s="30"/>
      <c r="E985" s="30"/>
      <c r="F985" s="30"/>
      <c r="G985" s="44"/>
      <c r="H985" s="30"/>
      <c r="I985" s="30"/>
      <c r="J985" s="30"/>
      <c r="K985" s="30"/>
      <c r="L985" s="30"/>
      <c r="M985" s="30"/>
      <c r="N985" s="30"/>
      <c r="O985" s="30"/>
      <c r="P985" s="30"/>
      <c r="Q985" s="30"/>
      <c r="R985" s="30"/>
      <c r="S985" s="30"/>
      <c r="T985" s="30"/>
      <c r="U985" s="30"/>
      <c r="V985" s="30"/>
      <c r="W985" s="30"/>
      <c r="X985" s="30"/>
      <c r="Y985" s="30"/>
      <c r="Z985" s="30"/>
      <c r="AA985" s="30"/>
      <c r="AB985" s="30"/>
      <c r="AC985" s="30"/>
      <c r="AD985" s="30"/>
      <c r="AE985" s="30"/>
      <c r="AF985" s="30"/>
      <c r="AG985" s="30"/>
      <c r="AH985" s="30"/>
      <c r="AI985" s="30"/>
      <c r="AJ985" s="30"/>
      <c r="AK985" s="30"/>
      <c r="AL985" s="30"/>
      <c r="AM985" s="30"/>
      <c r="AN985" s="30"/>
      <c r="AO985" s="30"/>
      <c r="AP985" s="30"/>
      <c r="AQ985" s="30"/>
      <c r="AR985" s="30"/>
      <c r="AS985" s="30"/>
      <c r="AT985" s="30"/>
    </row>
    <row r="986" ht="12.75" customHeight="1">
      <c r="A986" s="30"/>
      <c r="B986" s="30"/>
      <c r="C986" s="30"/>
      <c r="D986" s="30"/>
      <c r="E986" s="30"/>
      <c r="F986" s="30"/>
      <c r="G986" s="44"/>
      <c r="H986" s="30"/>
      <c r="I986" s="30"/>
      <c r="J986" s="30"/>
      <c r="K986" s="30"/>
      <c r="L986" s="30"/>
      <c r="M986" s="30"/>
      <c r="N986" s="30"/>
      <c r="O986" s="30"/>
      <c r="P986" s="30"/>
      <c r="Q986" s="30"/>
      <c r="R986" s="30"/>
      <c r="S986" s="30"/>
      <c r="T986" s="30"/>
      <c r="U986" s="30"/>
      <c r="V986" s="30"/>
      <c r="W986" s="30"/>
      <c r="X986" s="30"/>
      <c r="Y986" s="30"/>
      <c r="Z986" s="30"/>
      <c r="AA986" s="30"/>
      <c r="AB986" s="30"/>
      <c r="AC986" s="30"/>
      <c r="AD986" s="30"/>
      <c r="AE986" s="30"/>
      <c r="AF986" s="30"/>
      <c r="AG986" s="30"/>
      <c r="AH986" s="30"/>
      <c r="AI986" s="30"/>
      <c r="AJ986" s="30"/>
      <c r="AK986" s="30"/>
      <c r="AL986" s="30"/>
      <c r="AM986" s="30"/>
      <c r="AN986" s="30"/>
      <c r="AO986" s="30"/>
      <c r="AP986" s="30"/>
      <c r="AQ986" s="30"/>
      <c r="AR986" s="30"/>
      <c r="AS986" s="30"/>
      <c r="AT986" s="30"/>
    </row>
    <row r="987" ht="12.75" customHeight="1">
      <c r="A987" s="30"/>
      <c r="B987" s="30"/>
      <c r="C987" s="30"/>
      <c r="D987" s="30"/>
      <c r="E987" s="30"/>
      <c r="F987" s="30"/>
      <c r="G987" s="44"/>
      <c r="H987" s="30"/>
      <c r="I987" s="30"/>
      <c r="J987" s="30"/>
      <c r="K987" s="30"/>
      <c r="L987" s="30"/>
      <c r="M987" s="30"/>
      <c r="N987" s="30"/>
      <c r="O987" s="30"/>
      <c r="P987" s="30"/>
      <c r="Q987" s="30"/>
      <c r="R987" s="30"/>
      <c r="S987" s="30"/>
      <c r="T987" s="30"/>
      <c r="U987" s="30"/>
      <c r="V987" s="30"/>
      <c r="W987" s="30"/>
      <c r="X987" s="30"/>
      <c r="Y987" s="30"/>
      <c r="Z987" s="30"/>
      <c r="AA987" s="30"/>
      <c r="AB987" s="30"/>
      <c r="AC987" s="30"/>
      <c r="AD987" s="30"/>
      <c r="AE987" s="30"/>
      <c r="AF987" s="30"/>
      <c r="AG987" s="30"/>
      <c r="AH987" s="30"/>
      <c r="AI987" s="30"/>
      <c r="AJ987" s="30"/>
      <c r="AK987" s="30"/>
      <c r="AL987" s="30"/>
      <c r="AM987" s="30"/>
      <c r="AN987" s="30"/>
      <c r="AO987" s="30"/>
      <c r="AP987" s="30"/>
      <c r="AQ987" s="30"/>
      <c r="AR987" s="30"/>
      <c r="AS987" s="30"/>
      <c r="AT987" s="30"/>
    </row>
    <row r="988" ht="12.75" customHeight="1">
      <c r="A988" s="30"/>
      <c r="B988" s="30"/>
      <c r="C988" s="30"/>
      <c r="D988" s="30"/>
      <c r="E988" s="30"/>
      <c r="F988" s="30"/>
      <c r="G988" s="44"/>
      <c r="H988" s="30"/>
      <c r="I988" s="30"/>
      <c r="J988" s="30"/>
      <c r="K988" s="30"/>
      <c r="L988" s="30"/>
      <c r="M988" s="30"/>
      <c r="N988" s="30"/>
      <c r="O988" s="30"/>
      <c r="P988" s="30"/>
      <c r="Q988" s="30"/>
      <c r="R988" s="30"/>
      <c r="S988" s="30"/>
      <c r="T988" s="30"/>
      <c r="U988" s="30"/>
      <c r="V988" s="30"/>
      <c r="W988" s="30"/>
      <c r="X988" s="30"/>
      <c r="Y988" s="30"/>
      <c r="Z988" s="30"/>
      <c r="AA988" s="30"/>
      <c r="AB988" s="30"/>
      <c r="AC988" s="30"/>
      <c r="AD988" s="30"/>
      <c r="AE988" s="30"/>
      <c r="AF988" s="30"/>
      <c r="AG988" s="30"/>
      <c r="AH988" s="30"/>
      <c r="AI988" s="30"/>
      <c r="AJ988" s="30"/>
      <c r="AK988" s="30"/>
      <c r="AL988" s="30"/>
      <c r="AM988" s="30"/>
      <c r="AN988" s="30"/>
      <c r="AO988" s="30"/>
      <c r="AP988" s="30"/>
      <c r="AQ988" s="30"/>
      <c r="AR988" s="30"/>
      <c r="AS988" s="30"/>
      <c r="AT988" s="30"/>
    </row>
    <row r="989" ht="12.75" customHeight="1">
      <c r="A989" s="30"/>
      <c r="B989" s="30"/>
      <c r="C989" s="30"/>
      <c r="D989" s="30"/>
      <c r="E989" s="30"/>
      <c r="F989" s="30"/>
      <c r="G989" s="44"/>
      <c r="H989" s="30"/>
      <c r="I989" s="30"/>
      <c r="J989" s="30"/>
      <c r="K989" s="30"/>
      <c r="L989" s="30"/>
      <c r="M989" s="30"/>
      <c r="N989" s="30"/>
      <c r="O989" s="30"/>
      <c r="P989" s="30"/>
      <c r="Q989" s="30"/>
      <c r="R989" s="30"/>
      <c r="S989" s="30"/>
      <c r="T989" s="30"/>
      <c r="U989" s="30"/>
      <c r="V989" s="30"/>
      <c r="W989" s="30"/>
      <c r="X989" s="30"/>
      <c r="Y989" s="30"/>
      <c r="Z989" s="30"/>
      <c r="AA989" s="30"/>
      <c r="AB989" s="30"/>
      <c r="AC989" s="30"/>
      <c r="AD989" s="30"/>
      <c r="AE989" s="30"/>
      <c r="AF989" s="30"/>
      <c r="AG989" s="30"/>
      <c r="AH989" s="30"/>
      <c r="AI989" s="30"/>
      <c r="AJ989" s="30"/>
      <c r="AK989" s="30"/>
      <c r="AL989" s="30"/>
      <c r="AM989" s="30"/>
      <c r="AN989" s="30"/>
      <c r="AO989" s="30"/>
      <c r="AP989" s="30"/>
      <c r="AQ989" s="30"/>
      <c r="AR989" s="30"/>
      <c r="AS989" s="30"/>
      <c r="AT989" s="30"/>
    </row>
    <row r="990" ht="12.75" customHeight="1">
      <c r="A990" s="30"/>
      <c r="B990" s="30"/>
      <c r="C990" s="30"/>
      <c r="D990" s="30"/>
      <c r="E990" s="30"/>
      <c r="F990" s="30"/>
      <c r="G990" s="44"/>
      <c r="H990" s="30"/>
      <c r="I990" s="30"/>
      <c r="J990" s="30"/>
      <c r="K990" s="30"/>
      <c r="L990" s="30"/>
      <c r="M990" s="30"/>
      <c r="N990" s="30"/>
      <c r="O990" s="30"/>
      <c r="P990" s="30"/>
      <c r="Q990" s="30"/>
      <c r="R990" s="30"/>
      <c r="S990" s="30"/>
      <c r="T990" s="30"/>
      <c r="U990" s="30"/>
      <c r="V990" s="30"/>
      <c r="W990" s="30"/>
      <c r="X990" s="30"/>
      <c r="Y990" s="30"/>
      <c r="Z990" s="30"/>
      <c r="AA990" s="30"/>
      <c r="AB990" s="30"/>
      <c r="AC990" s="30"/>
      <c r="AD990" s="30"/>
      <c r="AE990" s="30"/>
      <c r="AF990" s="30"/>
      <c r="AG990" s="30"/>
      <c r="AH990" s="30"/>
      <c r="AI990" s="30"/>
      <c r="AJ990" s="30"/>
      <c r="AK990" s="30"/>
      <c r="AL990" s="30"/>
      <c r="AM990" s="30"/>
      <c r="AN990" s="30"/>
      <c r="AO990" s="30"/>
      <c r="AP990" s="30"/>
      <c r="AQ990" s="30"/>
      <c r="AR990" s="30"/>
      <c r="AS990" s="30"/>
      <c r="AT990" s="30"/>
    </row>
    <row r="991" ht="12.75" customHeight="1">
      <c r="A991" s="30"/>
      <c r="B991" s="30"/>
      <c r="C991" s="30"/>
      <c r="D991" s="30"/>
      <c r="E991" s="30"/>
      <c r="F991" s="30"/>
      <c r="G991" s="44"/>
      <c r="H991" s="30"/>
      <c r="I991" s="30"/>
      <c r="J991" s="30"/>
      <c r="K991" s="30"/>
      <c r="L991" s="30"/>
      <c r="M991" s="30"/>
      <c r="N991" s="30"/>
      <c r="O991" s="30"/>
      <c r="P991" s="30"/>
      <c r="Q991" s="30"/>
      <c r="R991" s="30"/>
      <c r="S991" s="30"/>
      <c r="T991" s="30"/>
      <c r="U991" s="30"/>
      <c r="V991" s="30"/>
      <c r="W991" s="30"/>
      <c r="X991" s="30"/>
      <c r="Y991" s="30"/>
      <c r="Z991" s="30"/>
      <c r="AA991" s="30"/>
      <c r="AB991" s="30"/>
      <c r="AC991" s="30"/>
      <c r="AD991" s="30"/>
      <c r="AE991" s="30"/>
      <c r="AF991" s="30"/>
      <c r="AG991" s="30"/>
      <c r="AH991" s="30"/>
      <c r="AI991" s="30"/>
      <c r="AJ991" s="30"/>
      <c r="AK991" s="30"/>
      <c r="AL991" s="30"/>
      <c r="AM991" s="30"/>
      <c r="AN991" s="30"/>
      <c r="AO991" s="30"/>
      <c r="AP991" s="30"/>
      <c r="AQ991" s="30"/>
      <c r="AR991" s="30"/>
      <c r="AS991" s="30"/>
      <c r="AT991" s="30"/>
    </row>
    <row r="992" ht="12.75" customHeight="1">
      <c r="A992" s="30"/>
      <c r="B992" s="30"/>
      <c r="C992" s="30"/>
      <c r="D992" s="30"/>
      <c r="E992" s="30"/>
      <c r="F992" s="30"/>
      <c r="G992" s="44"/>
      <c r="H992" s="30"/>
      <c r="I992" s="30"/>
      <c r="J992" s="30"/>
      <c r="K992" s="30"/>
      <c r="L992" s="30"/>
      <c r="M992" s="30"/>
      <c r="N992" s="30"/>
      <c r="O992" s="30"/>
      <c r="P992" s="30"/>
      <c r="Q992" s="30"/>
      <c r="R992" s="30"/>
      <c r="S992" s="30"/>
      <c r="T992" s="30"/>
      <c r="U992" s="30"/>
      <c r="V992" s="30"/>
      <c r="W992" s="30"/>
      <c r="X992" s="30"/>
      <c r="Y992" s="30"/>
      <c r="Z992" s="30"/>
      <c r="AA992" s="30"/>
      <c r="AB992" s="30"/>
      <c r="AC992" s="30"/>
      <c r="AD992" s="30"/>
      <c r="AE992" s="30"/>
      <c r="AF992" s="30"/>
      <c r="AG992" s="30"/>
      <c r="AH992" s="30"/>
      <c r="AI992" s="30"/>
      <c r="AJ992" s="30"/>
      <c r="AK992" s="30"/>
      <c r="AL992" s="30"/>
      <c r="AM992" s="30"/>
      <c r="AN992" s="30"/>
      <c r="AO992" s="30"/>
      <c r="AP992" s="30"/>
      <c r="AQ992" s="30"/>
      <c r="AR992" s="30"/>
      <c r="AS992" s="30"/>
      <c r="AT992" s="30"/>
    </row>
    <row r="993" ht="12.75" customHeight="1">
      <c r="A993" s="30"/>
      <c r="B993" s="30"/>
      <c r="C993" s="30"/>
      <c r="D993" s="30"/>
      <c r="E993" s="30"/>
      <c r="F993" s="30"/>
      <c r="G993" s="44"/>
      <c r="H993" s="30"/>
      <c r="I993" s="30"/>
      <c r="J993" s="30"/>
      <c r="K993" s="30"/>
      <c r="L993" s="30"/>
      <c r="M993" s="30"/>
      <c r="N993" s="30"/>
      <c r="O993" s="30"/>
      <c r="P993" s="30"/>
      <c r="Q993" s="30"/>
      <c r="R993" s="30"/>
      <c r="S993" s="30"/>
      <c r="T993" s="30"/>
      <c r="U993" s="30"/>
      <c r="V993" s="30"/>
      <c r="W993" s="30"/>
      <c r="X993" s="30"/>
      <c r="Y993" s="30"/>
      <c r="Z993" s="30"/>
      <c r="AA993" s="30"/>
      <c r="AB993" s="30"/>
      <c r="AC993" s="30"/>
      <c r="AD993" s="30"/>
      <c r="AE993" s="30"/>
      <c r="AF993" s="30"/>
      <c r="AG993" s="30"/>
      <c r="AH993" s="30"/>
      <c r="AI993" s="30"/>
      <c r="AJ993" s="30"/>
      <c r="AK993" s="30"/>
      <c r="AL993" s="30"/>
      <c r="AM993" s="30"/>
      <c r="AN993" s="30"/>
      <c r="AO993" s="30"/>
      <c r="AP993" s="30"/>
      <c r="AQ993" s="30"/>
      <c r="AR993" s="30"/>
      <c r="AS993" s="30"/>
      <c r="AT993" s="30"/>
    </row>
    <row r="994" ht="12.75" customHeight="1">
      <c r="A994" s="30"/>
      <c r="B994" s="30"/>
      <c r="C994" s="30"/>
      <c r="D994" s="30"/>
      <c r="E994" s="30"/>
      <c r="F994" s="30"/>
      <c r="G994" s="44"/>
      <c r="H994" s="30"/>
      <c r="I994" s="30"/>
      <c r="J994" s="30"/>
      <c r="K994" s="30"/>
      <c r="L994" s="30"/>
      <c r="M994" s="30"/>
      <c r="N994" s="30"/>
      <c r="O994" s="30"/>
      <c r="P994" s="30"/>
      <c r="Q994" s="30"/>
      <c r="R994" s="30"/>
      <c r="S994" s="30"/>
      <c r="T994" s="30"/>
      <c r="U994" s="30"/>
      <c r="V994" s="30"/>
      <c r="W994" s="30"/>
      <c r="X994" s="30"/>
      <c r="Y994" s="30"/>
      <c r="Z994" s="30"/>
      <c r="AA994" s="30"/>
      <c r="AB994" s="30"/>
      <c r="AC994" s="30"/>
      <c r="AD994" s="30"/>
      <c r="AE994" s="30"/>
      <c r="AF994" s="30"/>
      <c r="AG994" s="30"/>
      <c r="AH994" s="30"/>
      <c r="AI994" s="30"/>
      <c r="AJ994" s="30"/>
      <c r="AK994" s="30"/>
      <c r="AL994" s="30"/>
      <c r="AM994" s="30"/>
      <c r="AN994" s="30"/>
      <c r="AO994" s="30"/>
      <c r="AP994" s="30"/>
      <c r="AQ994" s="30"/>
      <c r="AR994" s="30"/>
      <c r="AS994" s="30"/>
      <c r="AT994" s="30"/>
    </row>
    <row r="995" ht="12.75" customHeight="1">
      <c r="A995" s="30"/>
      <c r="B995" s="30"/>
      <c r="C995" s="30"/>
      <c r="D995" s="30"/>
      <c r="E995" s="30"/>
      <c r="F995" s="30"/>
      <c r="G995" s="44"/>
      <c r="H995" s="30"/>
      <c r="I995" s="30"/>
      <c r="J995" s="30"/>
      <c r="K995" s="30"/>
      <c r="L995" s="30"/>
      <c r="M995" s="30"/>
      <c r="N995" s="30"/>
      <c r="O995" s="30"/>
      <c r="P995" s="30"/>
      <c r="Q995" s="30"/>
      <c r="R995" s="30"/>
      <c r="S995" s="30"/>
      <c r="T995" s="30"/>
      <c r="U995" s="30"/>
      <c r="V995" s="30"/>
      <c r="W995" s="30"/>
      <c r="X995" s="30"/>
      <c r="Y995" s="30"/>
      <c r="Z995" s="30"/>
      <c r="AA995" s="30"/>
      <c r="AB995" s="30"/>
      <c r="AC995" s="30"/>
      <c r="AD995" s="30"/>
      <c r="AE995" s="30"/>
      <c r="AF995" s="30"/>
      <c r="AG995" s="30"/>
      <c r="AH995" s="30"/>
      <c r="AI995" s="30"/>
      <c r="AJ995" s="30"/>
      <c r="AK995" s="30"/>
      <c r="AL995" s="30"/>
      <c r="AM995" s="30"/>
      <c r="AN995" s="30"/>
      <c r="AO995" s="30"/>
      <c r="AP995" s="30"/>
      <c r="AQ995" s="30"/>
      <c r="AR995" s="30"/>
      <c r="AS995" s="30"/>
      <c r="AT995" s="30"/>
    </row>
    <row r="996" ht="12.75" customHeight="1">
      <c r="A996" s="30"/>
      <c r="B996" s="30"/>
      <c r="C996" s="30"/>
      <c r="D996" s="30"/>
      <c r="E996" s="30"/>
      <c r="F996" s="30"/>
      <c r="G996" s="44"/>
      <c r="H996" s="30"/>
      <c r="I996" s="30"/>
      <c r="J996" s="30"/>
      <c r="K996" s="30"/>
      <c r="L996" s="30"/>
      <c r="M996" s="30"/>
      <c r="N996" s="30"/>
      <c r="O996" s="30"/>
      <c r="P996" s="30"/>
      <c r="Q996" s="30"/>
      <c r="R996" s="30"/>
      <c r="S996" s="30"/>
      <c r="T996" s="30"/>
      <c r="U996" s="30"/>
      <c r="V996" s="30"/>
      <c r="W996" s="30"/>
      <c r="X996" s="30"/>
      <c r="Y996" s="30"/>
      <c r="Z996" s="30"/>
      <c r="AA996" s="30"/>
      <c r="AB996" s="30"/>
      <c r="AC996" s="30"/>
      <c r="AD996" s="30"/>
      <c r="AE996" s="30"/>
      <c r="AF996" s="30"/>
      <c r="AG996" s="30"/>
      <c r="AH996" s="30"/>
      <c r="AI996" s="30"/>
      <c r="AJ996" s="30"/>
      <c r="AK996" s="30"/>
      <c r="AL996" s="30"/>
      <c r="AM996" s="30"/>
      <c r="AN996" s="30"/>
      <c r="AO996" s="30"/>
      <c r="AP996" s="30"/>
      <c r="AQ996" s="30"/>
      <c r="AR996" s="30"/>
      <c r="AS996" s="30"/>
      <c r="AT996" s="30"/>
    </row>
    <row r="997" ht="12.75" customHeight="1">
      <c r="A997" s="30"/>
      <c r="B997" s="30"/>
      <c r="C997" s="30"/>
      <c r="D997" s="30"/>
      <c r="E997" s="30"/>
      <c r="F997" s="30"/>
      <c r="G997" s="44"/>
      <c r="H997" s="30"/>
      <c r="I997" s="30"/>
      <c r="J997" s="30"/>
      <c r="K997" s="30"/>
      <c r="L997" s="30"/>
      <c r="M997" s="30"/>
      <c r="N997" s="30"/>
      <c r="O997" s="30"/>
      <c r="P997" s="30"/>
      <c r="Q997" s="30"/>
      <c r="R997" s="30"/>
      <c r="S997" s="30"/>
      <c r="T997" s="30"/>
      <c r="U997" s="30"/>
      <c r="V997" s="30"/>
      <c r="W997" s="30"/>
      <c r="X997" s="30"/>
      <c r="Y997" s="30"/>
      <c r="Z997" s="30"/>
      <c r="AA997" s="30"/>
      <c r="AB997" s="30"/>
      <c r="AC997" s="30"/>
      <c r="AD997" s="30"/>
      <c r="AE997" s="30"/>
      <c r="AF997" s="30"/>
      <c r="AG997" s="30"/>
      <c r="AH997" s="30"/>
      <c r="AI997" s="30"/>
      <c r="AJ997" s="30"/>
      <c r="AK997" s="30"/>
      <c r="AL997" s="30"/>
      <c r="AM997" s="30"/>
      <c r="AN997" s="30"/>
      <c r="AO997" s="30"/>
      <c r="AP997" s="30"/>
      <c r="AQ997" s="30"/>
      <c r="AR997" s="30"/>
      <c r="AS997" s="30"/>
      <c r="AT997" s="30"/>
    </row>
    <row r="998" ht="12.75" customHeight="1">
      <c r="A998" s="30"/>
      <c r="B998" s="30"/>
      <c r="C998" s="30"/>
      <c r="D998" s="30"/>
      <c r="E998" s="30"/>
      <c r="F998" s="30"/>
      <c r="G998" s="44"/>
      <c r="H998" s="30"/>
      <c r="I998" s="30"/>
      <c r="J998" s="30"/>
      <c r="K998" s="30"/>
      <c r="L998" s="30"/>
      <c r="M998" s="30"/>
      <c r="N998" s="30"/>
      <c r="O998" s="30"/>
      <c r="P998" s="30"/>
      <c r="Q998" s="30"/>
      <c r="R998" s="30"/>
      <c r="S998" s="30"/>
      <c r="T998" s="30"/>
      <c r="U998" s="30"/>
      <c r="V998" s="30"/>
      <c r="W998" s="30"/>
      <c r="X998" s="30"/>
      <c r="Y998" s="30"/>
      <c r="Z998" s="30"/>
      <c r="AA998" s="30"/>
      <c r="AB998" s="30"/>
      <c r="AC998" s="30"/>
      <c r="AD998" s="30"/>
      <c r="AE998" s="30"/>
      <c r="AF998" s="30"/>
      <c r="AG998" s="30"/>
      <c r="AH998" s="30"/>
      <c r="AI998" s="30"/>
      <c r="AJ998" s="30"/>
      <c r="AK998" s="30"/>
      <c r="AL998" s="30"/>
      <c r="AM998" s="30"/>
      <c r="AN998" s="30"/>
      <c r="AO998" s="30"/>
      <c r="AP998" s="30"/>
      <c r="AQ998" s="30"/>
      <c r="AR998" s="30"/>
      <c r="AS998" s="30"/>
      <c r="AT998" s="30"/>
    </row>
    <row r="999" ht="12.75" customHeight="1">
      <c r="A999" s="30"/>
      <c r="B999" s="30"/>
      <c r="C999" s="30"/>
      <c r="D999" s="30"/>
      <c r="E999" s="30"/>
      <c r="F999" s="30"/>
      <c r="G999" s="44"/>
      <c r="H999" s="30"/>
      <c r="I999" s="30"/>
      <c r="J999" s="30"/>
      <c r="K999" s="30"/>
      <c r="L999" s="30"/>
      <c r="M999" s="30"/>
      <c r="N999" s="30"/>
      <c r="O999" s="30"/>
      <c r="P999" s="30"/>
      <c r="Q999" s="30"/>
      <c r="R999" s="30"/>
      <c r="S999" s="30"/>
      <c r="T999" s="30"/>
      <c r="U999" s="30"/>
      <c r="V999" s="30"/>
      <c r="W999" s="30"/>
      <c r="X999" s="30"/>
      <c r="Y999" s="30"/>
      <c r="Z999" s="30"/>
      <c r="AA999" s="30"/>
      <c r="AB999" s="30"/>
      <c r="AC999" s="30"/>
      <c r="AD999" s="30"/>
      <c r="AE999" s="30"/>
      <c r="AF999" s="30"/>
      <c r="AG999" s="30"/>
      <c r="AH999" s="30"/>
      <c r="AI999" s="30"/>
      <c r="AJ999" s="30"/>
      <c r="AK999" s="30"/>
      <c r="AL999" s="30"/>
      <c r="AM999" s="30"/>
      <c r="AN999" s="30"/>
      <c r="AO999" s="30"/>
      <c r="AP999" s="30"/>
      <c r="AQ999" s="30"/>
      <c r="AR999" s="30"/>
      <c r="AS999" s="30"/>
      <c r="AT999" s="30"/>
    </row>
    <row r="1000" ht="12.75" customHeight="1">
      <c r="A1000" s="30"/>
      <c r="B1000" s="30"/>
      <c r="C1000" s="30"/>
      <c r="D1000" s="30"/>
      <c r="E1000" s="30"/>
      <c r="F1000" s="30"/>
      <c r="G1000" s="44"/>
      <c r="H1000" s="30"/>
      <c r="I1000" s="30"/>
      <c r="J1000" s="30"/>
      <c r="K1000" s="30"/>
      <c r="L1000" s="30"/>
      <c r="M1000" s="30"/>
      <c r="N1000" s="30"/>
      <c r="O1000" s="30"/>
      <c r="P1000" s="30"/>
      <c r="Q1000" s="30"/>
      <c r="R1000" s="30"/>
      <c r="S1000" s="30"/>
      <c r="T1000" s="30"/>
      <c r="U1000" s="30"/>
      <c r="V1000" s="30"/>
      <c r="W1000" s="30"/>
      <c r="X1000" s="30"/>
      <c r="Y1000" s="30"/>
      <c r="Z1000" s="30"/>
      <c r="AA1000" s="30"/>
      <c r="AB1000" s="30"/>
      <c r="AC1000" s="30"/>
      <c r="AD1000" s="30"/>
      <c r="AE1000" s="30"/>
      <c r="AF1000" s="30"/>
      <c r="AG1000" s="30"/>
      <c r="AH1000" s="30"/>
      <c r="AI1000" s="30"/>
      <c r="AJ1000" s="30"/>
      <c r="AK1000" s="30"/>
      <c r="AL1000" s="30"/>
      <c r="AM1000" s="30"/>
      <c r="AN1000" s="30"/>
      <c r="AO1000" s="30"/>
      <c r="AP1000" s="30"/>
      <c r="AQ1000" s="30"/>
      <c r="AR1000" s="30"/>
      <c r="AS1000" s="30"/>
      <c r="AT1000" s="30"/>
    </row>
  </sheetData>
  <mergeCells count="19">
    <mergeCell ref="A1:M1"/>
    <mergeCell ref="L2:M2"/>
    <mergeCell ref="D11:E12"/>
    <mergeCell ref="D14:G15"/>
    <mergeCell ref="B16:B19"/>
    <mergeCell ref="D16:I16"/>
    <mergeCell ref="D17:I17"/>
    <mergeCell ref="B45:B47"/>
    <mergeCell ref="B61:B67"/>
    <mergeCell ref="B82:C86"/>
    <mergeCell ref="B99:B100"/>
    <mergeCell ref="D18:I18"/>
    <mergeCell ref="D19:I19"/>
    <mergeCell ref="D22:F22"/>
    <mergeCell ref="D23:F23"/>
    <mergeCell ref="D24:F25"/>
    <mergeCell ref="B33:B34"/>
    <mergeCell ref="AT60:AT66"/>
    <mergeCell ref="I66:M67"/>
  </mergeCells>
  <conditionalFormatting sqref="E96">
    <cfRule type="expression" dxfId="0" priority="1">
      <formula>#REF!="Option A"</formula>
    </cfRule>
  </conditionalFormatting>
  <conditionalFormatting sqref="F40">
    <cfRule type="cellIs" dxfId="1" priority="2" operator="greaterThan">
      <formula>200</formula>
    </cfRule>
  </conditionalFormatting>
  <conditionalFormatting sqref="G96">
    <cfRule type="expression" dxfId="2" priority="3">
      <formula>#REF!="Option A"</formula>
    </cfRule>
  </conditionalFormatting>
  <conditionalFormatting sqref="F61">
    <cfRule type="colorScale" priority="4">
      <colorScale>
        <cfvo type="min"/>
        <cfvo type="formula" val="$AN$54*0.8"/>
        <cfvo type="formula" val="$AN$54"/>
        <color rgb="FFFFFFFF"/>
        <color rgb="FFFFC000"/>
        <color rgb="FFFF0000"/>
      </colorScale>
    </cfRule>
  </conditionalFormatting>
  <conditionalFormatting sqref="F41:F42">
    <cfRule type="cellIs" dxfId="1" priority="5" operator="equal">
      <formula>"NA"</formula>
    </cfRule>
  </conditionalFormatting>
  <conditionalFormatting sqref="F41:F42">
    <cfRule type="cellIs" dxfId="3" priority="6" operator="equal">
      <formula>"""NA"""</formula>
    </cfRule>
  </conditionalFormatting>
  <conditionalFormatting sqref="F73">
    <cfRule type="cellIs" dxfId="1" priority="7" operator="lessThan">
      <formula>0.25</formula>
    </cfRule>
  </conditionalFormatting>
  <conditionalFormatting sqref="F76">
    <cfRule type="cellIs" dxfId="1" priority="8" operator="lessThan">
      <formula>$F$75</formula>
    </cfRule>
  </conditionalFormatting>
  <conditionalFormatting sqref="F78">
    <cfRule type="cellIs" dxfId="1" priority="9" operator="lessThan">
      <formula>1.1</formula>
    </cfRule>
  </conditionalFormatting>
  <conditionalFormatting sqref="F78">
    <cfRule type="cellIs" dxfId="4" priority="10" operator="between">
      <formula>1.1</formula>
      <formula>1.3</formula>
    </cfRule>
  </conditionalFormatting>
  <conditionalFormatting sqref="E71:F71">
    <cfRule type="expression" dxfId="5" priority="11">
      <formula>#REF!="Yes"</formula>
    </cfRule>
  </conditionalFormatting>
  <conditionalFormatting sqref="G82 G84:G89">
    <cfRule type="expression" dxfId="6" priority="12">
      <formula>#REF!="Yes"</formula>
    </cfRule>
  </conditionalFormatting>
  <conditionalFormatting sqref="E72:G78">
    <cfRule type="expression" dxfId="5" priority="13">
      <formula>$F$71="Yes"</formula>
    </cfRule>
  </conditionalFormatting>
  <conditionalFormatting sqref="B79:G91">
    <cfRule type="expression" dxfId="5" priority="14">
      <formula>$F$71="NO"</formula>
    </cfRule>
  </conditionalFormatting>
  <conditionalFormatting sqref="F82 F85">
    <cfRule type="cellIs" dxfId="1" priority="15" operator="greaterThanOrEqual">
      <formula>$F$80</formula>
    </cfRule>
  </conditionalFormatting>
  <conditionalFormatting sqref="F86 F91">
    <cfRule type="cellIs" dxfId="4" priority="16" operator="between">
      <formula>1.1</formula>
      <formula>1.2999</formula>
    </cfRule>
  </conditionalFormatting>
  <conditionalFormatting sqref="F86 F91">
    <cfRule type="cellIs" dxfId="1" priority="17" operator="lessThan">
      <formula>1.1</formula>
    </cfRule>
  </conditionalFormatting>
  <conditionalFormatting sqref="F67">
    <cfRule type="cellIs" dxfId="1" priority="18" operator="lessThan">
      <formula>$F$62</formula>
    </cfRule>
  </conditionalFormatting>
  <conditionalFormatting sqref="F79">
    <cfRule type="expression" dxfId="5" priority="19">
      <formula>#REF!="Yes"</formula>
    </cfRule>
  </conditionalFormatting>
  <conditionalFormatting sqref="E41:G45">
    <cfRule type="expression" dxfId="5" priority="20">
      <formula>IF($F$39="No", "TRUE", "FALSE")</formula>
    </cfRule>
  </conditionalFormatting>
  <conditionalFormatting sqref="F46:F48">
    <cfRule type="cellIs" dxfId="1" priority="21" operator="lessThan">
      <formula>$F$30</formula>
    </cfRule>
  </conditionalFormatting>
  <conditionalFormatting sqref="B82">
    <cfRule type="expression" dxfId="5" priority="22">
      <formula>$F$71="NO"</formula>
    </cfRule>
  </conditionalFormatting>
  <conditionalFormatting sqref="B27:AM60 B68:AM99 B101:AM124 C61:AM65 C66:I66 C67:H67 C100:AM100 N66:AM67">
    <cfRule type="expression" dxfId="5" priority="23">
      <formula>$G$23="No"</formula>
    </cfRule>
  </conditionalFormatting>
  <conditionalFormatting sqref="B27:AM60 B68:AM99 B101:AM124 C61:AM65 C66:I66 C67:H67 C100:AM100 N66:AM67">
    <cfRule type="expression" dxfId="5" priority="24">
      <formula>$G$22="No"</formula>
    </cfRule>
  </conditionalFormatting>
  <conditionalFormatting sqref="AT60:AT66">
    <cfRule type="expression" dxfId="5" priority="25">
      <formula>$G$23="No"</formula>
    </cfRule>
  </conditionalFormatting>
  <conditionalFormatting sqref="AT60:AT66">
    <cfRule type="expression" dxfId="5" priority="26">
      <formula>$G$22="No"</formula>
    </cfRule>
  </conditionalFormatting>
  <conditionalFormatting sqref="B61:B67">
    <cfRule type="expression" dxfId="5" priority="27">
      <formula>$G$23="No"</formula>
    </cfRule>
  </conditionalFormatting>
  <conditionalFormatting sqref="B61:B67">
    <cfRule type="expression" dxfId="5" priority="28">
      <formula>$G$22="No"</formula>
    </cfRule>
  </conditionalFormatting>
  <dataValidations>
    <dataValidation type="list" allowBlank="1" showErrorMessage="1" sqref="G22:G23">
      <formula1>yesno</formula1>
    </dataValidation>
    <dataValidation type="list" allowBlank="1" showErrorMessage="1" sqref="F69">
      <formula1>$AN$70:$AN$71</formula1>
    </dataValidation>
    <dataValidation type="decimal" allowBlank="1" showErrorMessage="1" sqref="F54">
      <formula1>0.0</formula1>
      <formula2>200.0</formula2>
    </dataValidation>
    <dataValidation type="decimal" allowBlank="1" showErrorMessage="1" sqref="F55:F59">
      <formula1>0.001</formula1>
      <formula2>400.0</formula2>
    </dataValidation>
    <dataValidation type="list" allowBlank="1" showErrorMessage="1" sqref="F39 F71 F79">
      <formula1>$AN$39:$AN$40</formula1>
    </dataValidation>
    <dataValidation type="custom" allowBlank="1" showInputMessage="1" showErrorMessage="1" prompt="Resistor Divider - When using resistor divider Rs should be set larger than Rs,eff. _x000a__x000a_Otherwise switch to &quot;No resistor divider&quot;" sqref="F41">
      <formula1>"""NA"""</formula1>
    </dataValidation>
    <dataValidation type="decimal" operator="greaterThan" allowBlank="1" showErrorMessage="1" sqref="F43 F45">
      <formula1>0.0</formula1>
    </dataValidation>
    <dataValidation type="decimal" allowBlank="1" showErrorMessage="1" sqref="F52">
      <formula1>1.0</formula1>
      <formula2>6.0</formula2>
    </dataValidation>
    <dataValidation type="decimal" allowBlank="1" showInputMessage="1" showErrorMessage="1" prompt="Must enter value less than 10" sqref="F44">
      <formula1>0.0</formula1>
      <formula2>10.0</formula2>
    </dataValidation>
  </dataValidations>
  <hyperlinks>
    <hyperlink r:id="rId2" ref="B2"/>
    <hyperlink r:id="rId3" ref="D16"/>
    <hyperlink r:id="rId4" ref="D17"/>
    <hyperlink r:id="rId5" ref="D18"/>
    <hyperlink r:id="rId6" ref="D19"/>
    <hyperlink r:id="rId7" ref="D20"/>
    <hyperlink r:id="rId8" ref="D24"/>
    <hyperlink r:id="rId9" ref="B33"/>
    <hyperlink r:id="rId10" ref="B45"/>
    <hyperlink r:id="rId11" ref="B57"/>
    <hyperlink r:id="rId12" ref="B77"/>
    <hyperlink r:id="rId13" ref="B99"/>
  </hyperlinks>
  <printOptions/>
  <pageMargins bottom="0.920138888888889" footer="0.0" header="0.0" left="0.170138888888889" right="0.170138888888889" top="0.55"/>
  <pageSetup scale="62" orientation="portrait"/>
  <drawing r:id="rId14"/>
  <legacyDrawing r:id="rId1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2" width="24.25"/>
    <col customWidth="1" min="3" max="26" width="8.75"/>
  </cols>
  <sheetData>
    <row r="1" ht="12.75" customHeight="1"/>
    <row r="2" ht="12.75" customHeight="1">
      <c r="A2" s="30"/>
      <c r="C2" s="30" t="s">
        <v>178</v>
      </c>
      <c r="D2" s="30" t="s">
        <v>179</v>
      </c>
      <c r="E2" s="30" t="s">
        <v>180</v>
      </c>
      <c r="F2" s="30" t="s">
        <v>156</v>
      </c>
    </row>
    <row r="3" ht="12.75" customHeight="1">
      <c r="A3" s="123" t="s">
        <v>181</v>
      </c>
      <c r="C3" s="30"/>
      <c r="D3" s="30"/>
      <c r="E3" s="30"/>
    </row>
    <row r="4" ht="12.75" customHeight="1">
      <c r="A4" s="123"/>
      <c r="B4" s="30" t="s">
        <v>182</v>
      </c>
      <c r="C4" s="44">
        <v>-40.0</v>
      </c>
      <c r="D4" s="44"/>
      <c r="E4" s="44">
        <v>125.0</v>
      </c>
    </row>
    <row r="5" ht="12.75" customHeight="1">
      <c r="B5" s="138" t="s">
        <v>183</v>
      </c>
      <c r="C5" s="44">
        <v>9.0</v>
      </c>
      <c r="D5" s="44"/>
      <c r="E5" s="44">
        <v>80.0</v>
      </c>
      <c r="F5" s="30" t="s">
        <v>39</v>
      </c>
      <c r="J5" s="138"/>
    </row>
    <row r="6" ht="16.5" customHeight="1">
      <c r="A6" s="123" t="s">
        <v>184</v>
      </c>
      <c r="B6" s="138"/>
      <c r="C6" s="44"/>
      <c r="D6" s="44"/>
      <c r="E6" s="44"/>
      <c r="J6" s="138"/>
    </row>
    <row r="7" ht="12.75" customHeight="1">
      <c r="B7" s="138" t="s">
        <v>185</v>
      </c>
      <c r="C7" s="44">
        <v>45.0</v>
      </c>
      <c r="D7" s="44">
        <v>50.0</v>
      </c>
      <c r="E7" s="44">
        <v>55.0</v>
      </c>
      <c r="J7" s="138"/>
    </row>
    <row r="8" ht="12.75" customHeight="1">
      <c r="B8" s="138" t="s">
        <v>186</v>
      </c>
      <c r="C8" s="44"/>
      <c r="D8" s="44">
        <v>7.5</v>
      </c>
      <c r="E8" s="44">
        <v>20.0</v>
      </c>
      <c r="F8" s="30" t="s">
        <v>187</v>
      </c>
      <c r="J8" s="138"/>
    </row>
    <row r="9" ht="12.75" customHeight="1">
      <c r="C9" s="44"/>
      <c r="D9" s="44"/>
      <c r="E9" s="44"/>
    </row>
    <row r="10" ht="12.75" customHeight="1">
      <c r="C10" s="44"/>
      <c r="D10" s="44"/>
      <c r="E10" s="44"/>
    </row>
    <row r="11" ht="12.75" customHeight="1">
      <c r="A11" s="123" t="s">
        <v>188</v>
      </c>
      <c r="C11" s="44"/>
      <c r="D11" s="44"/>
      <c r="E11" s="44"/>
    </row>
    <row r="12" ht="12.75" customHeight="1">
      <c r="B12" s="138" t="s">
        <v>189</v>
      </c>
      <c r="C12" s="44">
        <v>3.9</v>
      </c>
      <c r="D12" s="44">
        <v>4.0</v>
      </c>
      <c r="E12" s="44">
        <v>4.1</v>
      </c>
      <c r="F12" s="30" t="s">
        <v>39</v>
      </c>
    </row>
    <row r="13" ht="12.75" customHeight="1">
      <c r="B13" s="138"/>
      <c r="C13" s="44"/>
      <c r="D13" s="44"/>
      <c r="E13" s="44"/>
      <c r="F13" s="30"/>
    </row>
    <row r="14" ht="12.75" customHeight="1">
      <c r="B14" s="138" t="s">
        <v>190</v>
      </c>
      <c r="C14" s="44"/>
      <c r="D14" s="44"/>
      <c r="E14" s="44"/>
      <c r="F14" s="30"/>
    </row>
    <row r="15" ht="12.75" customHeight="1">
      <c r="B15" s="138" t="s">
        <v>191</v>
      </c>
      <c r="C15" s="44">
        <v>15.0</v>
      </c>
      <c r="D15" s="44">
        <v>25.0</v>
      </c>
      <c r="E15" s="44">
        <v>34.0</v>
      </c>
      <c r="F15" s="30" t="s">
        <v>187</v>
      </c>
    </row>
    <row r="16" ht="12.75" customHeight="1">
      <c r="B16" s="138" t="s">
        <v>192</v>
      </c>
      <c r="C16" s="44"/>
      <c r="D16" s="44">
        <f>SQRT(0.66^2+ ((34-25)/25)^2+ 0.1^2)</f>
        <v>0.758419409</v>
      </c>
      <c r="E16" s="44"/>
      <c r="F16" s="30"/>
      <c r="G16" s="30" t="s">
        <v>193</v>
      </c>
    </row>
    <row r="17" ht="12.75" customHeight="1">
      <c r="B17" s="138" t="s">
        <v>194</v>
      </c>
      <c r="C17" s="44"/>
      <c r="D17" s="44">
        <v>0.75</v>
      </c>
      <c r="E17" s="44"/>
      <c r="F17" s="30"/>
      <c r="G17" s="30" t="s">
        <v>195</v>
      </c>
    </row>
    <row r="18" ht="12.75" customHeight="1">
      <c r="B18" s="138"/>
      <c r="C18" s="44"/>
      <c r="D18" s="44"/>
      <c r="E18" s="44"/>
    </row>
    <row r="19" ht="12.75" customHeight="1">
      <c r="A19" s="123" t="s">
        <v>196</v>
      </c>
      <c r="B19" s="138"/>
      <c r="C19" s="44"/>
      <c r="D19" s="44"/>
      <c r="E19" s="44"/>
    </row>
    <row r="20" ht="12.75" customHeight="1">
      <c r="B20" s="138" t="s">
        <v>197</v>
      </c>
      <c r="C20" s="44">
        <v>15.0</v>
      </c>
      <c r="D20" s="44">
        <v>22.0</v>
      </c>
      <c r="E20" s="44">
        <v>35.0</v>
      </c>
    </row>
    <row r="21" ht="12.75" customHeight="1">
      <c r="B21" s="138"/>
      <c r="C21" s="44"/>
      <c r="D21" s="44"/>
      <c r="E21" s="44"/>
    </row>
    <row r="22" ht="12.75" customHeight="1">
      <c r="A22" s="123" t="s">
        <v>198</v>
      </c>
      <c r="B22" s="138"/>
      <c r="C22" s="44"/>
      <c r="D22" s="44"/>
      <c r="E22" s="44"/>
    </row>
    <row r="23" ht="12.75" customHeight="1">
      <c r="B23" s="30" t="s">
        <v>199</v>
      </c>
      <c r="C23" s="37">
        <v>1.32</v>
      </c>
      <c r="D23" s="37">
        <v>1.35</v>
      </c>
      <c r="E23" s="37">
        <v>1.38</v>
      </c>
      <c r="F23" s="30" t="s">
        <v>39</v>
      </c>
    </row>
    <row r="24" ht="12.75" customHeight="1">
      <c r="B24" s="30" t="s">
        <v>200</v>
      </c>
      <c r="C24" s="37">
        <v>1.22</v>
      </c>
      <c r="D24" s="37">
        <v>1.25</v>
      </c>
      <c r="E24" s="37">
        <v>1.28</v>
      </c>
      <c r="F24" s="30" t="s">
        <v>39</v>
      </c>
    </row>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5" width="8.75"/>
    <col customWidth="1" min="6" max="6" width="14.25"/>
    <col customWidth="1" min="7" max="7" width="8.75"/>
    <col customWidth="1" min="8" max="8" width="14.0"/>
    <col customWidth="1" min="9" max="9" width="12.75"/>
    <col customWidth="1" min="10" max="10" width="11.75"/>
    <col customWidth="1" min="11" max="26" width="8.75"/>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c r="A13" s="123" t="s">
        <v>184</v>
      </c>
    </row>
    <row r="14" ht="12.75" customHeight="1">
      <c r="E14" s="138"/>
    </row>
    <row r="15" ht="12.75" customHeight="1">
      <c r="D15" s="37" t="s">
        <v>201</v>
      </c>
      <c r="E15" s="37">
        <v>45.0</v>
      </c>
      <c r="F15" s="190" t="s">
        <v>202</v>
      </c>
    </row>
    <row r="16" ht="12.75" customHeight="1">
      <c r="D16" s="37" t="s">
        <v>203</v>
      </c>
      <c r="E16" s="37">
        <v>50.0</v>
      </c>
      <c r="F16" s="190" t="s">
        <v>202</v>
      </c>
    </row>
    <row r="17" ht="12.75" customHeight="1">
      <c r="D17" s="37" t="s">
        <v>204</v>
      </c>
      <c r="E17" s="37">
        <v>55.0</v>
      </c>
      <c r="F17" s="190" t="s">
        <v>202</v>
      </c>
    </row>
    <row r="18" ht="12.75" customHeight="1">
      <c r="E18" s="138"/>
    </row>
    <row r="19" ht="12.75" customHeight="1">
      <c r="A19" s="123"/>
      <c r="E19" s="138"/>
    </row>
    <row r="20" ht="12.75" customHeight="1">
      <c r="E20" s="138" t="s">
        <v>205</v>
      </c>
      <c r="F20" s="37">
        <f>CLMIN_Threshold/('Design Calculator'!F30*1.01)</f>
        <v>0.9900990099</v>
      </c>
    </row>
    <row r="21" ht="12.75" customHeight="1">
      <c r="E21" s="138" t="s">
        <v>206</v>
      </c>
      <c r="F21" s="30">
        <f>IF(Rs&gt;RsMAX,10,"NA")</f>
        <v>10</v>
      </c>
    </row>
    <row r="22" ht="12.75" customHeight="1">
      <c r="E22" s="138" t="s">
        <v>207</v>
      </c>
      <c r="F22" s="37">
        <f>IF(Rs&gt;RsMAX,(((IOUTMAX*Rs)/CLMIN_Threshold)-1)*F21,"NA")</f>
        <v>0</v>
      </c>
    </row>
    <row r="23" ht="12.75" customHeight="1">
      <c r="E23" s="138" t="s">
        <v>208</v>
      </c>
      <c r="F23" s="37">
        <f>IF(RsMAX&gt;Rs,Rs,IF('Design Calculator'!F39="Yes",IF(Rs&gt;RsMAX,Rs/(1+RDIV2/RDIV1),Rs),Rs))</f>
        <v>1</v>
      </c>
      <c r="H23" s="191"/>
    </row>
    <row r="24" ht="12.75" customHeight="1">
      <c r="E24" s="138" t="s">
        <v>209</v>
      </c>
      <c r="F24" s="192">
        <f>CLMIN_Threshold/RsEFF</f>
        <v>45</v>
      </c>
      <c r="G24" s="192"/>
    </row>
    <row r="25" ht="12.75" customHeight="1">
      <c r="E25" s="138" t="s">
        <v>210</v>
      </c>
      <c r="F25" s="37">
        <f>CLNOM_Threshold/RsEFF</f>
        <v>50</v>
      </c>
    </row>
    <row r="26" ht="12.75" customHeight="1">
      <c r="E26" s="138" t="s">
        <v>211</v>
      </c>
      <c r="F26" s="37">
        <f>CLMAX_Threshold/RsEFF</f>
        <v>55</v>
      </c>
    </row>
    <row r="27" ht="12.75" customHeight="1">
      <c r="E27" s="138" t="s">
        <v>212</v>
      </c>
      <c r="F27" s="37">
        <f>F26^2*'Design Calculator'!F40</f>
        <v>3025</v>
      </c>
      <c r="J27" s="30" t="s">
        <v>213</v>
      </c>
    </row>
    <row r="28" ht="12.75" customHeight="1">
      <c r="J28" s="30"/>
    </row>
    <row r="29" ht="12.75" customHeight="1">
      <c r="J29" s="30" t="s">
        <v>214</v>
      </c>
    </row>
    <row r="30" ht="12.75" customHeight="1">
      <c r="E30" s="138"/>
      <c r="J30" s="30"/>
    </row>
    <row r="31" ht="12.75" customHeight="1">
      <c r="A31" s="123" t="s">
        <v>215</v>
      </c>
      <c r="J31" s="30" t="s">
        <v>216</v>
      </c>
    </row>
    <row r="32" ht="12.75" customHeight="1">
      <c r="A32" s="30"/>
      <c r="F32" s="30" t="s">
        <v>217</v>
      </c>
      <c r="H32" s="30" t="s">
        <v>218</v>
      </c>
      <c r="J32" s="30"/>
    </row>
    <row r="33" ht="12.75" customHeight="1">
      <c r="A33" s="30"/>
      <c r="E33" s="121" t="s">
        <v>219</v>
      </c>
      <c r="F33" s="107">
        <f>VINMAX*'Design Calculator'!F55</f>
        <v>5256</v>
      </c>
      <c r="G33" s="30" t="s">
        <v>57</v>
      </c>
      <c r="H33" s="37">
        <f>F33*(TJMAX-TJ)/(TJMAX-25)</f>
        <v>2883.083316</v>
      </c>
      <c r="J33" s="30" t="s">
        <v>220</v>
      </c>
    </row>
    <row r="34" ht="12.75" customHeight="1">
      <c r="A34" s="30"/>
      <c r="E34" s="121" t="s">
        <v>221</v>
      </c>
      <c r="F34" s="107">
        <f>VINMAX*'Design Calculator'!F56</f>
        <v>876</v>
      </c>
      <c r="G34" s="30" t="s">
        <v>57</v>
      </c>
      <c r="H34" s="37">
        <f>F34*(TJMAX-TJ)/(TJMAX-25)</f>
        <v>480.513886</v>
      </c>
      <c r="J34" s="30"/>
    </row>
    <row r="35" ht="12.75" customHeight="1">
      <c r="A35" s="30"/>
      <c r="E35" s="121" t="s">
        <v>222</v>
      </c>
      <c r="F35" s="107">
        <f>VINMAX*'Design Calculator'!F57</f>
        <v>408.8</v>
      </c>
      <c r="G35" s="30" t="s">
        <v>57</v>
      </c>
      <c r="H35" s="37">
        <f>F35*(TJMAX-TJ)/(TJMAX-25)</f>
        <v>224.2398135</v>
      </c>
    </row>
    <row r="36" ht="12.75" customHeight="1">
      <c r="A36" s="30"/>
      <c r="E36" s="121" t="s">
        <v>223</v>
      </c>
      <c r="F36" s="107">
        <f>VINMAX*'Design Calculator'!F58</f>
        <v>379.6</v>
      </c>
      <c r="G36" s="30" t="s">
        <v>57</v>
      </c>
      <c r="H36" s="37">
        <f>F36*(TJMAX-TJ)/(TJMAX-25)</f>
        <v>208.2226839</v>
      </c>
      <c r="J36" s="30"/>
    </row>
    <row r="37" ht="12.75" customHeight="1">
      <c r="A37" s="30"/>
      <c r="E37" s="138"/>
      <c r="F37" s="193"/>
      <c r="G37" s="30"/>
    </row>
    <row r="38" ht="12.75" customHeight="1">
      <c r="A38" s="30"/>
      <c r="E38" s="138" t="s">
        <v>224</v>
      </c>
      <c r="F38" s="193">
        <f>MAX(VINMAX*5/RsEFF,0.4*10*CLNOM)</f>
        <v>292</v>
      </c>
      <c r="G38" s="30" t="s">
        <v>57</v>
      </c>
      <c r="J38" s="30"/>
    </row>
    <row r="39" ht="12.75" customHeight="1">
      <c r="A39" s="30"/>
      <c r="E39" s="138" t="s">
        <v>225</v>
      </c>
      <c r="F39" s="194">
        <f>'Design Calculator'!F63</f>
        <v>300</v>
      </c>
      <c r="G39" s="30" t="s">
        <v>57</v>
      </c>
    </row>
    <row r="40" ht="12.75" customHeight="1">
      <c r="A40" s="30"/>
      <c r="E40" s="138" t="s">
        <v>226</v>
      </c>
      <c r="F40" s="44">
        <f>F39/CLNOM/10</f>
        <v>0.6</v>
      </c>
      <c r="G40" s="30" t="s">
        <v>39</v>
      </c>
    </row>
    <row r="41" ht="12.75" customHeight="1">
      <c r="A41" s="30"/>
      <c r="E41" s="138" t="s">
        <v>227</v>
      </c>
      <c r="F41" s="195">
        <f>'Design Calculator'!F64</f>
        <v>53.6</v>
      </c>
      <c r="G41" s="30" t="s">
        <v>228</v>
      </c>
    </row>
    <row r="42" ht="12.75" customHeight="1">
      <c r="A42" s="30"/>
      <c r="E42" s="138" t="s">
        <v>229</v>
      </c>
      <c r="F42" s="196">
        <f>F40/4</f>
        <v>0.15</v>
      </c>
    </row>
    <row r="43" ht="12.75" customHeight="1">
      <c r="A43" s="30"/>
      <c r="E43" s="138" t="s">
        <v>230</v>
      </c>
      <c r="F43" s="196">
        <f>F41*F42/(1-F42)</f>
        <v>9.458823529</v>
      </c>
      <c r="G43" s="30" t="s">
        <v>228</v>
      </c>
    </row>
    <row r="44" ht="12.75" customHeight="1">
      <c r="A44" s="30"/>
      <c r="E44" s="138" t="s">
        <v>231</v>
      </c>
      <c r="F44" s="193">
        <f>'Design Calculator'!F66</f>
        <v>10</v>
      </c>
    </row>
    <row r="45" ht="12.75" customHeight="1">
      <c r="A45" s="30"/>
      <c r="E45" s="138"/>
      <c r="F45" s="193"/>
    </row>
    <row r="46" ht="12.75" customHeight="1">
      <c r="E46" s="138" t="s">
        <v>232</v>
      </c>
      <c r="F46" s="197">
        <f>4*F44/(F44+F41)</f>
        <v>0.6289308176</v>
      </c>
      <c r="G46" s="30" t="s">
        <v>39</v>
      </c>
    </row>
    <row r="47" ht="12.75" customHeight="1">
      <c r="E47" s="138" t="s">
        <v>233</v>
      </c>
      <c r="F47" s="197">
        <f>F46*10*CLNOM</f>
        <v>314.4654088</v>
      </c>
      <c r="G47" s="30"/>
    </row>
    <row r="48" ht="12.75" customHeight="1">
      <c r="E48" s="138"/>
      <c r="F48" s="198"/>
      <c r="G48" s="30"/>
    </row>
    <row r="49" ht="12.75" customHeight="1">
      <c r="E49" s="138"/>
      <c r="F49" s="44"/>
      <c r="H49" s="138"/>
      <c r="I49" s="44"/>
      <c r="K49" s="138"/>
      <c r="L49" s="44"/>
    </row>
    <row r="50" ht="12.75" customHeight="1">
      <c r="E50" s="138"/>
      <c r="F50" s="44"/>
      <c r="H50" s="138"/>
      <c r="I50" s="44"/>
      <c r="K50" s="138"/>
      <c r="L50" s="44"/>
    </row>
    <row r="51" ht="12.75" customHeight="1">
      <c r="A51" s="123" t="s">
        <v>234</v>
      </c>
    </row>
    <row r="52" ht="12.75" customHeight="1">
      <c r="A52" s="123"/>
      <c r="D52" s="199" t="s">
        <v>235</v>
      </c>
    </row>
    <row r="53" ht="12.75" customHeight="1">
      <c r="A53" s="123"/>
      <c r="E53" s="138" t="s">
        <v>236</v>
      </c>
      <c r="F53" s="192">
        <f>Start_up!M2</f>
        <v>103.5272727</v>
      </c>
      <c r="G53" s="30" t="s">
        <v>108</v>
      </c>
    </row>
    <row r="54" ht="12.75" customHeight="1">
      <c r="A54" s="123"/>
      <c r="E54" s="138" t="s">
        <v>237</v>
      </c>
      <c r="F54" s="192">
        <f>'Device Parmaters'!D17</f>
        <v>0.75</v>
      </c>
    </row>
    <row r="55" ht="12.75" customHeight="1">
      <c r="A55" s="123"/>
      <c r="E55" s="138" t="s">
        <v>238</v>
      </c>
      <c r="F55" s="37">
        <f>F53*(1+F54)</f>
        <v>181.1727273</v>
      </c>
      <c r="G55" s="30" t="s">
        <v>108</v>
      </c>
    </row>
    <row r="56" ht="12.75" customHeight="1">
      <c r="A56" s="123"/>
      <c r="E56" s="138" t="s">
        <v>111</v>
      </c>
      <c r="F56" s="37">
        <f>'Device Parmaters'!D15/'Device Parmaters'!D12*F55</f>
        <v>1132.329545</v>
      </c>
      <c r="G56" s="30" t="s">
        <v>112</v>
      </c>
    </row>
    <row r="57" ht="12.75" customHeight="1">
      <c r="A57" s="123"/>
      <c r="E57" s="138" t="s">
        <v>239</v>
      </c>
      <c r="F57" s="192">
        <f>'Design Calculator'!F76</f>
        <v>33</v>
      </c>
      <c r="G57" s="30" t="s">
        <v>112</v>
      </c>
    </row>
    <row r="58" ht="12.75" customHeight="1">
      <c r="A58" s="123"/>
      <c r="E58" s="138" t="s">
        <v>240</v>
      </c>
      <c r="F58" s="37">
        <f>'Device Parmaters'!D12/'Device Parmaters'!D15*F57</f>
        <v>5.28</v>
      </c>
      <c r="G58" s="30" t="s">
        <v>108</v>
      </c>
    </row>
    <row r="59" ht="12.75" customHeight="1">
      <c r="A59" s="123"/>
      <c r="E59" s="138" t="s">
        <v>241</v>
      </c>
      <c r="F59" s="37">
        <f>SOA!C26/Equations!F47</f>
        <v>1.307888534</v>
      </c>
      <c r="G59" s="30"/>
    </row>
    <row r="60" ht="12.75" customHeight="1">
      <c r="A60" s="123"/>
      <c r="E60" s="138"/>
      <c r="G60" s="30"/>
    </row>
    <row r="61" ht="12.75" customHeight="1">
      <c r="A61" s="123"/>
      <c r="D61" s="199" t="s">
        <v>242</v>
      </c>
    </row>
    <row r="62" ht="12.75" customHeight="1">
      <c r="A62" s="123"/>
      <c r="C62" s="30"/>
      <c r="D62" s="200"/>
      <c r="E62" s="138" t="s">
        <v>243</v>
      </c>
      <c r="F62" s="44">
        <f>'Design Calculator'!F82</f>
        <v>0.56</v>
      </c>
      <c r="G62" s="44" t="s">
        <v>118</v>
      </c>
    </row>
    <row r="63" ht="12.75" customHeight="1">
      <c r="A63" s="123"/>
      <c r="C63" s="30"/>
      <c r="D63" s="200"/>
      <c r="E63" s="138" t="s">
        <v>122</v>
      </c>
      <c r="F63" s="44">
        <f>'Device Parmaters'!D20/ss_rate</f>
        <v>39.28571429</v>
      </c>
      <c r="G63" s="30" t="s">
        <v>112</v>
      </c>
    </row>
    <row r="64" ht="12.75" customHeight="1">
      <c r="A64" s="123"/>
      <c r="C64" s="30"/>
      <c r="D64" s="200"/>
      <c r="E64" s="138" t="s">
        <v>123</v>
      </c>
      <c r="F64" s="44">
        <f>'Design Calculator'!F84</f>
        <v>39</v>
      </c>
      <c r="G64" s="30" t="s">
        <v>112</v>
      </c>
    </row>
    <row r="65" ht="12.75" customHeight="1">
      <c r="A65" s="123"/>
      <c r="C65" s="30"/>
      <c r="D65" s="200"/>
      <c r="E65" s="138" t="s">
        <v>244</v>
      </c>
      <c r="F65" s="44">
        <f>ss_rate*F63/F64</f>
        <v>0.5641025641</v>
      </c>
      <c r="G65" s="30" t="s">
        <v>118</v>
      </c>
    </row>
    <row r="66" ht="12.75" customHeight="1">
      <c r="A66" s="123"/>
      <c r="C66" s="30"/>
      <c r="D66" s="200"/>
      <c r="E66" s="138" t="s">
        <v>245</v>
      </c>
      <c r="F66" s="44">
        <f>COUTMAX*F65/1000</f>
        <v>1.568205128</v>
      </c>
      <c r="G66" s="44" t="s">
        <v>43</v>
      </c>
    </row>
    <row r="67" ht="12.75" customHeight="1">
      <c r="A67" s="123"/>
      <c r="C67" s="30"/>
      <c r="D67" s="200"/>
      <c r="E67" s="138" t="s">
        <v>246</v>
      </c>
      <c r="F67" s="44">
        <f>VINMAX/F65</f>
        <v>103.5272727</v>
      </c>
      <c r="G67" s="44" t="s">
        <v>108</v>
      </c>
    </row>
    <row r="68" ht="12.75" customHeight="1">
      <c r="A68" s="123"/>
      <c r="C68" s="30"/>
      <c r="D68" s="200"/>
      <c r="E68" s="138" t="s">
        <v>247</v>
      </c>
      <c r="F68" s="201">
        <f>Start_up!N5</f>
        <v>5.842134255</v>
      </c>
      <c r="G68" s="44" t="s">
        <v>248</v>
      </c>
    </row>
    <row r="69" ht="12.75" customHeight="1">
      <c r="A69" s="123"/>
      <c r="C69" s="30"/>
      <c r="D69" s="200"/>
      <c r="E69" s="138" t="s">
        <v>249</v>
      </c>
      <c r="F69" s="44">
        <f>Start_up!Q4</f>
        <v>137.1432426</v>
      </c>
      <c r="G69" s="44" t="s">
        <v>57</v>
      </c>
    </row>
    <row r="70" ht="12.75" customHeight="1">
      <c r="A70" s="123"/>
      <c r="D70" s="199"/>
      <c r="E70" s="138" t="s">
        <v>250</v>
      </c>
      <c r="F70" s="201">
        <f>F68/F69*1000</f>
        <v>42.59877588</v>
      </c>
      <c r="G70" s="44" t="s">
        <v>108</v>
      </c>
    </row>
    <row r="71" ht="12.75" customHeight="1">
      <c r="A71" s="123"/>
      <c r="E71" s="138" t="s">
        <v>251</v>
      </c>
      <c r="F71" s="30">
        <f>SOA!H28</f>
        <v>214.0206982</v>
      </c>
      <c r="G71" s="44" t="s">
        <v>57</v>
      </c>
    </row>
    <row r="72" ht="12.75" customHeight="1">
      <c r="A72" s="123"/>
      <c r="E72" s="138" t="s">
        <v>252</v>
      </c>
      <c r="F72" s="30">
        <f>F71/F69</f>
        <v>1.560563205</v>
      </c>
      <c r="G72" s="30"/>
    </row>
    <row r="73" ht="12.75" customHeight="1">
      <c r="A73" s="123"/>
      <c r="E73" s="138"/>
      <c r="F73" s="30"/>
      <c r="G73" s="30"/>
    </row>
    <row r="74" ht="12.75" customHeight="1">
      <c r="A74" s="123"/>
      <c r="E74" s="138"/>
      <c r="F74" s="30">
        <v>1.0</v>
      </c>
      <c r="G74" s="44" t="s">
        <v>108</v>
      </c>
    </row>
    <row r="75" ht="12.75" customHeight="1">
      <c r="A75" s="123"/>
      <c r="D75" s="200" t="s">
        <v>253</v>
      </c>
    </row>
    <row r="76" ht="12.75" customHeight="1">
      <c r="A76" s="123"/>
      <c r="E76" s="138" t="s">
        <v>126</v>
      </c>
      <c r="F76" s="192">
        <f>'Design Calculator'!F87</f>
        <v>0.4</v>
      </c>
      <c r="G76" s="30"/>
    </row>
    <row r="77" ht="12.75" customHeight="1">
      <c r="A77" s="123"/>
      <c r="E77" s="138" t="s">
        <v>127</v>
      </c>
      <c r="F77" s="30">
        <f>'Device Parmaters'!D15/'Device Parmaters'!D12*F76</f>
        <v>2.5</v>
      </c>
      <c r="G77" s="30" t="s">
        <v>112</v>
      </c>
    </row>
    <row r="78" ht="12.75" customHeight="1">
      <c r="A78" s="123"/>
      <c r="E78" s="138" t="s">
        <v>254</v>
      </c>
      <c r="F78" s="192">
        <f>'Design Calculator'!F89</f>
        <v>10</v>
      </c>
      <c r="G78" s="30" t="s">
        <v>112</v>
      </c>
    </row>
    <row r="79" ht="12.75" customHeight="1">
      <c r="A79" s="123"/>
      <c r="E79" s="121" t="s">
        <v>129</v>
      </c>
      <c r="F79" s="30">
        <f>'Device Parmaters'!D12/'Device Parmaters'!D15*F78</f>
        <v>1.6</v>
      </c>
      <c r="G79" s="30" t="s">
        <v>108</v>
      </c>
    </row>
    <row r="80" ht="12.75" customHeight="1">
      <c r="A80" s="123"/>
      <c r="E80" s="138" t="s">
        <v>255</v>
      </c>
      <c r="F80" s="30">
        <f>SOA!C26</f>
        <v>411.2857025</v>
      </c>
      <c r="G80" s="30" t="s">
        <v>57</v>
      </c>
    </row>
    <row r="81" ht="12.75" customHeight="1">
      <c r="A81" s="123"/>
      <c r="E81" s="121" t="s">
        <v>252</v>
      </c>
      <c r="F81" s="30">
        <f>F80/F47</f>
        <v>1.307888534</v>
      </c>
      <c r="G81" s="30"/>
    </row>
    <row r="82" ht="12.75" customHeight="1">
      <c r="A82" s="123"/>
      <c r="E82" s="138"/>
      <c r="F82" s="30"/>
      <c r="G82" s="30"/>
    </row>
    <row r="83" ht="12.75" customHeight="1">
      <c r="E83" s="138"/>
      <c r="J83" s="202"/>
      <c r="M83" s="202"/>
    </row>
    <row r="84" ht="12.75" customHeight="1">
      <c r="E84" s="138"/>
      <c r="J84" s="202"/>
      <c r="M84" s="202"/>
    </row>
    <row r="85" ht="12.75" customHeight="1">
      <c r="E85" s="123" t="s">
        <v>256</v>
      </c>
      <c r="J85" s="30" t="s">
        <v>257</v>
      </c>
    </row>
    <row r="86" ht="12.75" customHeight="1">
      <c r="E86" s="138" t="s">
        <v>133</v>
      </c>
      <c r="F86" s="37">
        <f>'Design Calculator'!F92</f>
        <v>38</v>
      </c>
      <c r="G86" s="30" t="s">
        <v>39</v>
      </c>
    </row>
    <row r="87" ht="12.75" customHeight="1">
      <c r="E87" s="138" t="s">
        <v>135</v>
      </c>
      <c r="F87" s="203">
        <f>'Design Calculator'!F93</f>
        <v>10</v>
      </c>
      <c r="G87" s="30" t="s">
        <v>228</v>
      </c>
      <c r="J87" s="30" t="s">
        <v>258</v>
      </c>
    </row>
    <row r="88" ht="12.75" customHeight="1">
      <c r="E88" s="138" t="s">
        <v>137</v>
      </c>
      <c r="F88" s="37">
        <f>'Design Calculator'!F94</f>
        <v>30</v>
      </c>
      <c r="G88" s="30" t="s">
        <v>228</v>
      </c>
    </row>
    <row r="89" ht="12.75" customHeight="1">
      <c r="E89" s="138" t="s">
        <v>139</v>
      </c>
      <c r="F89" s="204">
        <f>F88*(-1+F86/'Device Parmaters'!D23)</f>
        <v>814.4444444</v>
      </c>
      <c r="G89" s="30" t="s">
        <v>228</v>
      </c>
      <c r="J89" s="30" t="s">
        <v>259</v>
      </c>
    </row>
    <row r="90" ht="12.75" customHeight="1">
      <c r="E90" s="138" t="s">
        <v>141</v>
      </c>
      <c r="F90" s="37">
        <f>'Design Calculator'!F96</f>
        <v>806</v>
      </c>
      <c r="G90" s="30" t="s">
        <v>228</v>
      </c>
    </row>
    <row r="91" ht="12.75" customHeight="1">
      <c r="E91" s="138"/>
      <c r="F91" s="205"/>
      <c r="G91" s="205"/>
    </row>
    <row r="92" ht="12.75" customHeight="1">
      <c r="E92" s="138"/>
      <c r="F92" s="205"/>
      <c r="G92" s="205"/>
    </row>
    <row r="93" ht="12.75" customHeight="1">
      <c r="D93" s="151" t="s">
        <v>143</v>
      </c>
      <c r="E93" s="152" t="s">
        <v>144</v>
      </c>
      <c r="F93" s="152" t="s">
        <v>145</v>
      </c>
      <c r="G93" s="152" t="s">
        <v>146</v>
      </c>
    </row>
    <row r="94" ht="12.75" customHeight="1">
      <c r="D94" s="121" t="s">
        <v>147</v>
      </c>
      <c r="E94" s="206">
        <f>($F$90+$F$88)/$F$88*'Device Parmaters'!C23</f>
        <v>36.784</v>
      </c>
      <c r="F94" s="206">
        <f>($F$90+$F$88)/$F$88*'Device Parmaters'!D23</f>
        <v>37.62</v>
      </c>
      <c r="G94" s="206">
        <f>($F$90+$F$88)/$F$88*'Device Parmaters'!E23</f>
        <v>38.456</v>
      </c>
    </row>
    <row r="95" ht="12.75" customHeight="1">
      <c r="D95" s="121" t="s">
        <v>148</v>
      </c>
      <c r="E95" s="206">
        <f>($F$90+$F$88)/$F$88*'Device Parmaters'!C24</f>
        <v>33.99733333</v>
      </c>
      <c r="F95" s="206">
        <f>($F$90+$F$88)/$F$88*'Device Parmaters'!D24</f>
        <v>34.83333333</v>
      </c>
      <c r="G95" s="206">
        <f>($F$90+$F$88)/$F$88*'Device Parmaters'!E24</f>
        <v>35.66933333</v>
      </c>
    </row>
    <row r="96" ht="12.75" customHeight="1">
      <c r="E96" s="138"/>
      <c r="F96" s="205"/>
      <c r="G96" s="205"/>
    </row>
    <row r="97" ht="12.75" customHeight="1"/>
    <row r="98" ht="12.75" customHeight="1"/>
    <row r="99" ht="12.75" customHeight="1"/>
    <row r="100" ht="12.75" customHeight="1"/>
    <row r="101" ht="12.75" customHeight="1"/>
    <row r="102" ht="12.75" customHeight="1"/>
    <row r="103" ht="12.75" customHeight="1"/>
    <row r="104" ht="12.75" customHeight="1">
      <c r="E104" s="138"/>
      <c r="F104" s="30"/>
      <c r="G104" s="30"/>
    </row>
    <row r="105" ht="12.75" customHeight="1">
      <c r="E105" s="138"/>
      <c r="F105" s="30"/>
      <c r="G105" s="30"/>
    </row>
    <row r="106" ht="12.75" customHeight="1">
      <c r="E106" s="138"/>
      <c r="G106" s="30"/>
    </row>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c r="C127" s="123" t="s">
        <v>260</v>
      </c>
    </row>
    <row r="128" ht="12.75" customHeight="1">
      <c r="E128" s="138" t="s">
        <v>261</v>
      </c>
      <c r="F128" s="44">
        <f>'Design Calculator'!F40</f>
        <v>1</v>
      </c>
    </row>
    <row r="129" ht="12.75" customHeight="1">
      <c r="E129" s="138" t="s">
        <v>262</v>
      </c>
      <c r="F129" s="44">
        <f>'Design Calculator'!F29</f>
        <v>58.4</v>
      </c>
    </row>
    <row r="130" ht="12.75" customHeight="1"/>
    <row r="131" ht="12.75" customHeight="1">
      <c r="E131" s="138" t="s">
        <v>263</v>
      </c>
      <c r="F131" s="205">
        <f t="shared" ref="F131:F133" si="1">F24</f>
        <v>45</v>
      </c>
    </row>
    <row r="132" ht="12.75" customHeight="1">
      <c r="E132" s="138" t="s">
        <v>264</v>
      </c>
      <c r="F132" s="205">
        <f t="shared" si="1"/>
        <v>50</v>
      </c>
    </row>
    <row r="133" ht="12.75" customHeight="1">
      <c r="E133" s="138" t="s">
        <v>265</v>
      </c>
      <c r="F133" s="205">
        <f t="shared" si="1"/>
        <v>55</v>
      </c>
    </row>
    <row r="134" ht="12.75" customHeight="1"/>
    <row r="135" ht="12.75" customHeight="1">
      <c r="E135" s="138" t="s">
        <v>266</v>
      </c>
      <c r="F135" s="196">
        <f>'Design Calculator'!F67</f>
        <v>314.4654088</v>
      </c>
    </row>
    <row r="136" ht="12.75" customHeight="1">
      <c r="E136" s="138"/>
      <c r="F136" s="196"/>
    </row>
    <row r="137" ht="12.75" customHeight="1"/>
    <row r="138" ht="12.75" customHeight="1">
      <c r="E138" s="138"/>
      <c r="F138" s="196"/>
    </row>
    <row r="139" ht="12.75" customHeight="1"/>
    <row r="140" ht="12.75" customHeight="1"/>
    <row r="141" ht="12.75" customHeight="1"/>
    <row r="142" ht="12.75" customHeight="1"/>
    <row r="143" ht="12.75" customHeight="1">
      <c r="D143" s="37" t="s">
        <v>267</v>
      </c>
      <c r="E143" s="138"/>
      <c r="I143" s="37" t="s">
        <v>268</v>
      </c>
      <c r="N143" s="37" t="s">
        <v>269</v>
      </c>
      <c r="R143" s="30" t="s">
        <v>270</v>
      </c>
    </row>
    <row r="144" ht="12.75" customHeight="1">
      <c r="D144" s="37" t="s">
        <v>271</v>
      </c>
      <c r="I144" s="37" t="s">
        <v>272</v>
      </c>
      <c r="N144" s="37" t="s">
        <v>273</v>
      </c>
      <c r="R144" s="30" t="s">
        <v>274</v>
      </c>
    </row>
    <row r="145" ht="12.75" customHeight="1">
      <c r="B145" s="30" t="s">
        <v>275</v>
      </c>
      <c r="D145" s="181" t="s">
        <v>276</v>
      </c>
      <c r="E145" s="181" t="s">
        <v>178</v>
      </c>
      <c r="F145" s="181" t="s">
        <v>179</v>
      </c>
      <c r="G145" s="181" t="s">
        <v>180</v>
      </c>
      <c r="I145" s="181" t="s">
        <v>276</v>
      </c>
      <c r="J145" s="181" t="s">
        <v>178</v>
      </c>
      <c r="K145" s="181" t="s">
        <v>179</v>
      </c>
      <c r="L145" s="181" t="s">
        <v>180</v>
      </c>
      <c r="N145" s="37" t="s">
        <v>277</v>
      </c>
      <c r="R145" s="181" t="s">
        <v>276</v>
      </c>
      <c r="S145" s="181" t="s">
        <v>178</v>
      </c>
      <c r="T145" s="181" t="s">
        <v>179</v>
      </c>
      <c r="U145" s="181" t="s">
        <v>180</v>
      </c>
      <c r="V145" s="181" t="s">
        <v>278</v>
      </c>
      <c r="X145" s="207" t="s">
        <v>279</v>
      </c>
    </row>
    <row r="146" ht="12.75" customHeight="1">
      <c r="B146" s="37">
        <f t="shared" ref="B146:B162" si="3">D146*F146</f>
        <v>314.4654088</v>
      </c>
      <c r="C146" s="181">
        <v>0.1</v>
      </c>
      <c r="D146" s="181">
        <f t="shared" ref="D146:D162" si="4">C146/12*$F$129</f>
        <v>0.4866666667</v>
      </c>
      <c r="E146" s="208">
        <f t="shared" ref="E146:E162" si="5">(1-$F$169)*F146</f>
        <v>484.6213492</v>
      </c>
      <c r="F146" s="208">
        <f t="shared" ref="F146:F162" si="6">($F$135)/D146</f>
        <v>646.1617989</v>
      </c>
      <c r="G146" s="208">
        <f t="shared" ref="G146:G162" si="7">F146*(1+$F$169)</f>
        <v>807.7022486</v>
      </c>
      <c r="I146" s="181">
        <f t="shared" ref="I146:I162" si="8">D146</f>
        <v>0.4866666667</v>
      </c>
      <c r="J146" s="208">
        <f t="shared" ref="J146:J162" si="9">IF(E146&gt;$F$131,$F$131,E146)</f>
        <v>45</v>
      </c>
      <c r="K146" s="208">
        <f t="shared" ref="K146:K162" si="10">IF(F146&gt;$F$132,$F$132,F146)</f>
        <v>50</v>
      </c>
      <c r="L146" s="208">
        <f t="shared" ref="L146:L162" si="11">IF(G146&gt;$F$133,$F$133,G146)</f>
        <v>55</v>
      </c>
      <c r="N146" s="37" t="s">
        <v>280</v>
      </c>
      <c r="R146" s="181">
        <f t="shared" ref="R146:R162" si="12">I146</f>
        <v>0.4866666667</v>
      </c>
      <c r="S146" s="208">
        <f t="shared" ref="S146:U146" si="2">IF($R146&gt;$F$129,0.0000000005,J146)</f>
        <v>45</v>
      </c>
      <c r="T146" s="208">
        <f t="shared" si="2"/>
        <v>50</v>
      </c>
      <c r="U146" s="208">
        <f t="shared" si="2"/>
        <v>55</v>
      </c>
      <c r="V146" s="208">
        <f t="shared" ref="V146:V165" si="14">$X$146/R146</f>
        <v>845.1076078</v>
      </c>
      <c r="X146" s="37">
        <f>SOA!C26</f>
        <v>411.2857025</v>
      </c>
      <c r="Y146" s="30" t="s">
        <v>57</v>
      </c>
    </row>
    <row r="147" ht="12.75" customHeight="1">
      <c r="B147" s="37">
        <f t="shared" si="3"/>
        <v>314.4654088</v>
      </c>
      <c r="C147" s="181">
        <v>1.0</v>
      </c>
      <c r="D147" s="181">
        <f t="shared" si="4"/>
        <v>4.866666667</v>
      </c>
      <c r="E147" s="208">
        <f t="shared" si="5"/>
        <v>48.46213492</v>
      </c>
      <c r="F147" s="208">
        <f t="shared" si="6"/>
        <v>64.61617989</v>
      </c>
      <c r="G147" s="208">
        <f t="shared" si="7"/>
        <v>80.77022486</v>
      </c>
      <c r="I147" s="181">
        <f t="shared" si="8"/>
        <v>4.866666667</v>
      </c>
      <c r="J147" s="208">
        <f t="shared" si="9"/>
        <v>45</v>
      </c>
      <c r="K147" s="208">
        <f t="shared" si="10"/>
        <v>50</v>
      </c>
      <c r="L147" s="208">
        <f t="shared" si="11"/>
        <v>55</v>
      </c>
      <c r="R147" s="181">
        <f t="shared" si="12"/>
        <v>4.866666667</v>
      </c>
      <c r="S147" s="208">
        <f t="shared" ref="S147:U147" si="13">IF($R147&gt;$F$129,0.0000000005,J147)</f>
        <v>45</v>
      </c>
      <c r="T147" s="208">
        <f t="shared" si="13"/>
        <v>50</v>
      </c>
      <c r="U147" s="208">
        <f t="shared" si="13"/>
        <v>55</v>
      </c>
      <c r="V147" s="208">
        <f t="shared" si="14"/>
        <v>84.51076078</v>
      </c>
    </row>
    <row r="148" ht="12.75" customHeight="1">
      <c r="B148" s="37">
        <f t="shared" si="3"/>
        <v>314.4654088</v>
      </c>
      <c r="C148" s="181">
        <v>2.0</v>
      </c>
      <c r="D148" s="181">
        <f t="shared" si="4"/>
        <v>9.733333333</v>
      </c>
      <c r="E148" s="208">
        <f t="shared" si="5"/>
        <v>24.23106746</v>
      </c>
      <c r="F148" s="208">
        <f t="shared" si="6"/>
        <v>32.30808995</v>
      </c>
      <c r="G148" s="208">
        <f t="shared" si="7"/>
        <v>40.38511243</v>
      </c>
      <c r="I148" s="181">
        <f t="shared" si="8"/>
        <v>9.733333333</v>
      </c>
      <c r="J148" s="208">
        <f t="shared" si="9"/>
        <v>24.23106746</v>
      </c>
      <c r="K148" s="208">
        <f t="shared" si="10"/>
        <v>32.30808995</v>
      </c>
      <c r="L148" s="208">
        <f t="shared" si="11"/>
        <v>40.38511243</v>
      </c>
      <c r="O148" s="209" t="s">
        <v>281</v>
      </c>
      <c r="R148" s="181">
        <f t="shared" si="12"/>
        <v>9.733333333</v>
      </c>
      <c r="S148" s="208">
        <f t="shared" ref="S148:U148" si="15">IF($R148&gt;$F$129,0.0000000005,J148)</f>
        <v>24.23106746</v>
      </c>
      <c r="T148" s="208">
        <f t="shared" si="15"/>
        <v>32.30808995</v>
      </c>
      <c r="U148" s="208">
        <f t="shared" si="15"/>
        <v>40.38511243</v>
      </c>
      <c r="V148" s="208">
        <f t="shared" si="14"/>
        <v>42.25538039</v>
      </c>
    </row>
    <row r="149" ht="12.75" customHeight="1">
      <c r="B149" s="37">
        <f t="shared" si="3"/>
        <v>314.4654088</v>
      </c>
      <c r="C149" s="181">
        <v>3.0</v>
      </c>
      <c r="D149" s="181">
        <f t="shared" si="4"/>
        <v>14.6</v>
      </c>
      <c r="E149" s="208">
        <f t="shared" si="5"/>
        <v>16.15404497</v>
      </c>
      <c r="F149" s="208">
        <f t="shared" si="6"/>
        <v>21.53872663</v>
      </c>
      <c r="G149" s="208">
        <f t="shared" si="7"/>
        <v>26.92340829</v>
      </c>
      <c r="I149" s="181">
        <f t="shared" si="8"/>
        <v>14.6</v>
      </c>
      <c r="J149" s="208">
        <f t="shared" si="9"/>
        <v>16.15404497</v>
      </c>
      <c r="K149" s="208">
        <f t="shared" si="10"/>
        <v>21.53872663</v>
      </c>
      <c r="L149" s="208">
        <f t="shared" si="11"/>
        <v>26.92340829</v>
      </c>
      <c r="N149" s="210" t="s">
        <v>276</v>
      </c>
      <c r="O149" s="211" t="s">
        <v>282</v>
      </c>
      <c r="R149" s="181">
        <f t="shared" si="12"/>
        <v>14.6</v>
      </c>
      <c r="S149" s="208">
        <f t="shared" ref="S149:U149" si="16">IF($R149&gt;$F$129,0.0000000005,J149)</f>
        <v>16.15404497</v>
      </c>
      <c r="T149" s="208">
        <f t="shared" si="16"/>
        <v>21.53872663</v>
      </c>
      <c r="U149" s="208">
        <f t="shared" si="16"/>
        <v>26.92340829</v>
      </c>
      <c r="V149" s="208">
        <f t="shared" si="14"/>
        <v>28.17025359</v>
      </c>
    </row>
    <row r="150" ht="12.75" customHeight="1">
      <c r="B150" s="37">
        <f t="shared" si="3"/>
        <v>314.4654088</v>
      </c>
      <c r="C150" s="181">
        <v>4.0</v>
      </c>
      <c r="D150" s="181">
        <f t="shared" si="4"/>
        <v>19.46666667</v>
      </c>
      <c r="E150" s="208">
        <f t="shared" si="5"/>
        <v>12.11553373</v>
      </c>
      <c r="F150" s="208">
        <f t="shared" si="6"/>
        <v>16.15404497</v>
      </c>
      <c r="G150" s="208">
        <f t="shared" si="7"/>
        <v>20.19255622</v>
      </c>
      <c r="I150" s="181">
        <f t="shared" si="8"/>
        <v>19.46666667</v>
      </c>
      <c r="J150" s="208">
        <f t="shared" si="9"/>
        <v>12.11553373</v>
      </c>
      <c r="K150" s="208">
        <f t="shared" si="10"/>
        <v>16.15404497</v>
      </c>
      <c r="L150" s="208">
        <f t="shared" si="11"/>
        <v>20.19255622</v>
      </c>
      <c r="N150" s="181">
        <f t="shared" ref="N150:N166" si="18">I146</f>
        <v>0.4866666667</v>
      </c>
      <c r="O150" s="181">
        <f>SOA!C39</f>
        <v>411.2857025</v>
      </c>
      <c r="P150" s="37" t="s">
        <v>283</v>
      </c>
      <c r="R150" s="181">
        <f t="shared" si="12"/>
        <v>19.46666667</v>
      </c>
      <c r="S150" s="208">
        <f t="shared" ref="S150:U150" si="17">IF($R150&gt;$F$129,0.0000000005,J150)</f>
        <v>12.11553373</v>
      </c>
      <c r="T150" s="208">
        <f t="shared" si="17"/>
        <v>16.15404497</v>
      </c>
      <c r="U150" s="208">
        <f t="shared" si="17"/>
        <v>20.19255622</v>
      </c>
      <c r="V150" s="208">
        <f t="shared" si="14"/>
        <v>21.1276902</v>
      </c>
    </row>
    <row r="151" ht="12.75" customHeight="1">
      <c r="B151" s="37">
        <f t="shared" si="3"/>
        <v>314.4654088</v>
      </c>
      <c r="C151" s="181">
        <v>5.0</v>
      </c>
      <c r="D151" s="181">
        <f t="shared" si="4"/>
        <v>24.33333333</v>
      </c>
      <c r="E151" s="208">
        <f t="shared" si="5"/>
        <v>9.692426984</v>
      </c>
      <c r="F151" s="208">
        <f t="shared" si="6"/>
        <v>12.92323598</v>
      </c>
      <c r="G151" s="208">
        <f t="shared" si="7"/>
        <v>16.15404497</v>
      </c>
      <c r="I151" s="181">
        <f t="shared" si="8"/>
        <v>24.33333333</v>
      </c>
      <c r="J151" s="208">
        <f t="shared" si="9"/>
        <v>9.692426984</v>
      </c>
      <c r="K151" s="208">
        <f t="shared" si="10"/>
        <v>12.92323598</v>
      </c>
      <c r="L151" s="208">
        <f t="shared" si="11"/>
        <v>16.15404497</v>
      </c>
      <c r="N151" s="181">
        <f t="shared" si="18"/>
        <v>4.866666667</v>
      </c>
      <c r="O151" s="208">
        <f>O154+((O150-O154)*3/7)</f>
        <v>372.1156356</v>
      </c>
      <c r="R151" s="181">
        <f t="shared" si="12"/>
        <v>24.33333333</v>
      </c>
      <c r="S151" s="208">
        <f t="shared" ref="S151:U151" si="19">IF($R151&gt;$F$129,0.0000000005,J151)</f>
        <v>9.692426984</v>
      </c>
      <c r="T151" s="208">
        <f t="shared" si="19"/>
        <v>12.92323598</v>
      </c>
      <c r="U151" s="208">
        <f t="shared" si="19"/>
        <v>16.15404497</v>
      </c>
      <c r="V151" s="208">
        <f t="shared" si="14"/>
        <v>16.90215216</v>
      </c>
    </row>
    <row r="152" ht="12.75" customHeight="1">
      <c r="B152" s="37">
        <f t="shared" si="3"/>
        <v>314.4654088</v>
      </c>
      <c r="C152" s="181">
        <v>6.0</v>
      </c>
      <c r="D152" s="181">
        <f t="shared" si="4"/>
        <v>29.2</v>
      </c>
      <c r="E152" s="208">
        <f t="shared" si="5"/>
        <v>8.077022486</v>
      </c>
      <c r="F152" s="208">
        <f t="shared" si="6"/>
        <v>10.76936332</v>
      </c>
      <c r="G152" s="208">
        <f t="shared" si="7"/>
        <v>13.46170414</v>
      </c>
      <c r="I152" s="181">
        <f t="shared" si="8"/>
        <v>29.2</v>
      </c>
      <c r="J152" s="208">
        <f t="shared" si="9"/>
        <v>8.077022486</v>
      </c>
      <c r="K152" s="208">
        <f t="shared" si="10"/>
        <v>10.76936332</v>
      </c>
      <c r="L152" s="208">
        <f t="shared" si="11"/>
        <v>13.46170414</v>
      </c>
      <c r="N152" s="181">
        <f t="shared" si="18"/>
        <v>9.733333333</v>
      </c>
      <c r="O152" s="208">
        <f>O154+((O150-O154)*2/8)</f>
        <v>359.8749897</v>
      </c>
      <c r="R152" s="181">
        <f t="shared" si="12"/>
        <v>29.2</v>
      </c>
      <c r="S152" s="208">
        <f t="shared" ref="S152:U152" si="20">IF($R152&gt;$F$129,0.0000000005,J152)</f>
        <v>8.077022486</v>
      </c>
      <c r="T152" s="208">
        <f t="shared" si="20"/>
        <v>10.76936332</v>
      </c>
      <c r="U152" s="208">
        <f t="shared" si="20"/>
        <v>13.46170414</v>
      </c>
      <c r="V152" s="208">
        <f t="shared" si="14"/>
        <v>14.0851268</v>
      </c>
    </row>
    <row r="153" ht="12.75" customHeight="1">
      <c r="B153" s="37">
        <f t="shared" si="3"/>
        <v>314.4654088</v>
      </c>
      <c r="C153" s="181">
        <v>7.0</v>
      </c>
      <c r="D153" s="181">
        <f t="shared" si="4"/>
        <v>34.06666667</v>
      </c>
      <c r="E153" s="208">
        <f t="shared" si="5"/>
        <v>6.923162131</v>
      </c>
      <c r="F153" s="208">
        <f t="shared" si="6"/>
        <v>9.230882842</v>
      </c>
      <c r="G153" s="208">
        <f t="shared" si="7"/>
        <v>11.53860355</v>
      </c>
      <c r="I153" s="181">
        <f t="shared" si="8"/>
        <v>34.06666667</v>
      </c>
      <c r="J153" s="208">
        <f t="shared" si="9"/>
        <v>6.923162131</v>
      </c>
      <c r="K153" s="208">
        <f t="shared" si="10"/>
        <v>9.230882842</v>
      </c>
      <c r="L153" s="208">
        <f t="shared" si="11"/>
        <v>11.53860355</v>
      </c>
      <c r="N153" s="181">
        <f t="shared" si="18"/>
        <v>14.6</v>
      </c>
      <c r="O153" s="208">
        <f>O154+((O150-O154)*1/9)</f>
        <v>350.3544873</v>
      </c>
      <c r="R153" s="181">
        <f t="shared" si="12"/>
        <v>34.06666667</v>
      </c>
      <c r="S153" s="208">
        <f t="shared" ref="S153:U153" si="21">IF($R153&gt;$F$129,0.0000000005,J153)</f>
        <v>6.923162131</v>
      </c>
      <c r="T153" s="208">
        <f t="shared" si="21"/>
        <v>9.230882842</v>
      </c>
      <c r="U153" s="208">
        <f t="shared" si="21"/>
        <v>11.53860355</v>
      </c>
      <c r="V153" s="208">
        <f t="shared" si="14"/>
        <v>12.07296583</v>
      </c>
    </row>
    <row r="154" ht="12.75" customHeight="1">
      <c r="B154" s="37">
        <f t="shared" si="3"/>
        <v>314.4654088</v>
      </c>
      <c r="C154" s="181">
        <v>8.0</v>
      </c>
      <c r="D154" s="181">
        <f t="shared" si="4"/>
        <v>38.93333333</v>
      </c>
      <c r="E154" s="208">
        <f t="shared" si="5"/>
        <v>6.057766865</v>
      </c>
      <c r="F154" s="208">
        <f t="shared" si="6"/>
        <v>8.077022486</v>
      </c>
      <c r="G154" s="208">
        <f t="shared" si="7"/>
        <v>10.09627811</v>
      </c>
      <c r="I154" s="181">
        <f t="shared" si="8"/>
        <v>38.93333333</v>
      </c>
      <c r="J154" s="208">
        <f t="shared" si="9"/>
        <v>6.057766865</v>
      </c>
      <c r="K154" s="208">
        <f t="shared" si="10"/>
        <v>8.077022486</v>
      </c>
      <c r="L154" s="208">
        <f t="shared" si="11"/>
        <v>10.09627811</v>
      </c>
      <c r="N154" s="181">
        <f t="shared" si="18"/>
        <v>19.46666667</v>
      </c>
      <c r="O154" s="208">
        <f>SOA!C40</f>
        <v>342.7380854</v>
      </c>
      <c r="P154" s="37" t="s">
        <v>284</v>
      </c>
      <c r="R154" s="181">
        <f t="shared" si="12"/>
        <v>38.93333333</v>
      </c>
      <c r="S154" s="208">
        <f t="shared" ref="S154:U154" si="22">IF($R154&gt;$F$129,0.0000000005,J154)</f>
        <v>6.057766865</v>
      </c>
      <c r="T154" s="208">
        <f t="shared" si="22"/>
        <v>8.077022486</v>
      </c>
      <c r="U154" s="208">
        <f t="shared" si="22"/>
        <v>10.09627811</v>
      </c>
      <c r="V154" s="208">
        <f t="shared" si="14"/>
        <v>10.5638451</v>
      </c>
    </row>
    <row r="155" ht="12.75" customHeight="1">
      <c r="B155" s="37">
        <f t="shared" si="3"/>
        <v>314.4654088</v>
      </c>
      <c r="C155" s="181">
        <v>9.0</v>
      </c>
      <c r="D155" s="181">
        <f t="shared" si="4"/>
        <v>43.8</v>
      </c>
      <c r="E155" s="208">
        <f t="shared" si="5"/>
        <v>5.384681658</v>
      </c>
      <c r="F155" s="208">
        <f t="shared" si="6"/>
        <v>7.179575543</v>
      </c>
      <c r="G155" s="208">
        <f t="shared" si="7"/>
        <v>8.974469429</v>
      </c>
      <c r="I155" s="181">
        <f t="shared" si="8"/>
        <v>43.8</v>
      </c>
      <c r="J155" s="208">
        <f t="shared" si="9"/>
        <v>5.384681658</v>
      </c>
      <c r="K155" s="208">
        <f t="shared" si="10"/>
        <v>7.179575543</v>
      </c>
      <c r="L155" s="208">
        <f t="shared" si="11"/>
        <v>8.974469429</v>
      </c>
      <c r="N155" s="181">
        <f t="shared" si="18"/>
        <v>24.33333333</v>
      </c>
      <c r="O155" s="208">
        <f>O$159+((O$154-O$159)*4/6)</f>
        <v>233.0618981</v>
      </c>
      <c r="R155" s="181">
        <f t="shared" si="12"/>
        <v>43.8</v>
      </c>
      <c r="S155" s="208">
        <f t="shared" ref="S155:U155" si="23">IF($R155&gt;$F$129,0.0000000005,J155)</f>
        <v>5.384681658</v>
      </c>
      <c r="T155" s="208">
        <f t="shared" si="23"/>
        <v>7.179575543</v>
      </c>
      <c r="U155" s="208">
        <f t="shared" si="23"/>
        <v>8.974469429</v>
      </c>
      <c r="V155" s="208">
        <f t="shared" si="14"/>
        <v>9.390084531</v>
      </c>
    </row>
    <row r="156" ht="12.75" customHeight="1">
      <c r="B156" s="37">
        <f t="shared" si="3"/>
        <v>314.4654088</v>
      </c>
      <c r="C156" s="181">
        <v>10.0</v>
      </c>
      <c r="D156" s="181">
        <f t="shared" si="4"/>
        <v>48.66666667</v>
      </c>
      <c r="E156" s="208">
        <f t="shared" si="5"/>
        <v>4.846213492</v>
      </c>
      <c r="F156" s="208">
        <f t="shared" si="6"/>
        <v>6.461617989</v>
      </c>
      <c r="G156" s="208">
        <f t="shared" si="7"/>
        <v>8.077022486</v>
      </c>
      <c r="I156" s="181">
        <f t="shared" si="8"/>
        <v>48.66666667</v>
      </c>
      <c r="J156" s="208">
        <f t="shared" si="9"/>
        <v>4.846213492</v>
      </c>
      <c r="K156" s="208">
        <f t="shared" si="10"/>
        <v>6.461617989</v>
      </c>
      <c r="L156" s="208">
        <f t="shared" si="11"/>
        <v>8.077022486</v>
      </c>
      <c r="N156" s="181">
        <f t="shared" si="18"/>
        <v>29.2</v>
      </c>
      <c r="O156" s="208">
        <f>O$159+((O$154-O$159)*3/7)</f>
        <v>154.7217643</v>
      </c>
      <c r="R156" s="181">
        <f t="shared" si="12"/>
        <v>48.66666667</v>
      </c>
      <c r="S156" s="208">
        <f t="shared" ref="S156:U156" si="24">IF($R156&gt;$F$129,0.0000000005,J156)</f>
        <v>4.846213492</v>
      </c>
      <c r="T156" s="208">
        <f t="shared" si="24"/>
        <v>6.461617989</v>
      </c>
      <c r="U156" s="208">
        <f t="shared" si="24"/>
        <v>8.077022486</v>
      </c>
      <c r="V156" s="208">
        <f t="shared" si="14"/>
        <v>8.451076078</v>
      </c>
    </row>
    <row r="157" ht="12.75" customHeight="1">
      <c r="B157" s="37">
        <f t="shared" si="3"/>
        <v>314.4654088</v>
      </c>
      <c r="C157" s="181">
        <v>11.0</v>
      </c>
      <c r="D157" s="181">
        <f t="shared" si="4"/>
        <v>53.53333333</v>
      </c>
      <c r="E157" s="208">
        <f t="shared" si="5"/>
        <v>4.405648629</v>
      </c>
      <c r="F157" s="208">
        <f t="shared" si="6"/>
        <v>5.874198172</v>
      </c>
      <c r="G157" s="208">
        <f t="shared" si="7"/>
        <v>7.342747715</v>
      </c>
      <c r="I157" s="181">
        <f t="shared" si="8"/>
        <v>53.53333333</v>
      </c>
      <c r="J157" s="208">
        <f t="shared" si="9"/>
        <v>4.405648629</v>
      </c>
      <c r="K157" s="208">
        <f t="shared" si="10"/>
        <v>5.874198172</v>
      </c>
      <c r="L157" s="208">
        <f t="shared" si="11"/>
        <v>7.342747715</v>
      </c>
      <c r="N157" s="181">
        <f t="shared" si="18"/>
        <v>34.06666667</v>
      </c>
      <c r="O157" s="208">
        <f>O$159+((O$154-O$159)*2/8)</f>
        <v>95.96666391</v>
      </c>
      <c r="R157" s="181">
        <f t="shared" si="12"/>
        <v>53.53333333</v>
      </c>
      <c r="S157" s="208">
        <f t="shared" ref="S157:U157" si="25">IF($R157&gt;$F$129,0.0000000005,J157)</f>
        <v>4.405648629</v>
      </c>
      <c r="T157" s="208">
        <f t="shared" si="25"/>
        <v>5.874198172</v>
      </c>
      <c r="U157" s="208">
        <f t="shared" si="25"/>
        <v>7.342747715</v>
      </c>
      <c r="V157" s="208">
        <f t="shared" si="14"/>
        <v>7.682796435</v>
      </c>
    </row>
    <row r="158" ht="12.75" customHeight="1">
      <c r="B158" s="37">
        <f t="shared" si="3"/>
        <v>314.4654088</v>
      </c>
      <c r="C158" s="181">
        <v>12.0</v>
      </c>
      <c r="D158" s="181">
        <f t="shared" si="4"/>
        <v>58.4</v>
      </c>
      <c r="E158" s="208">
        <f t="shared" si="5"/>
        <v>4.038511243</v>
      </c>
      <c r="F158" s="208">
        <f t="shared" si="6"/>
        <v>5.384681658</v>
      </c>
      <c r="G158" s="208">
        <f t="shared" si="7"/>
        <v>6.730852072</v>
      </c>
      <c r="I158" s="181">
        <f t="shared" si="8"/>
        <v>58.4</v>
      </c>
      <c r="J158" s="208">
        <f t="shared" si="9"/>
        <v>4.038511243</v>
      </c>
      <c r="K158" s="208">
        <f t="shared" si="10"/>
        <v>5.384681658</v>
      </c>
      <c r="L158" s="208">
        <f t="shared" si="11"/>
        <v>6.730852072</v>
      </c>
      <c r="N158" s="181">
        <f t="shared" si="18"/>
        <v>38.93333333</v>
      </c>
      <c r="O158" s="208">
        <f>O$159+((O$154-O$159)*1/9)</f>
        <v>50.26825253</v>
      </c>
      <c r="R158" s="181">
        <f t="shared" si="12"/>
        <v>58.4</v>
      </c>
      <c r="S158" s="208">
        <f t="shared" ref="S158:U158" si="26">IF($R158&gt;$F$129,0.0000000005,J158)</f>
        <v>4.038511243</v>
      </c>
      <c r="T158" s="208">
        <f t="shared" si="26"/>
        <v>5.384681658</v>
      </c>
      <c r="U158" s="208">
        <f t="shared" si="26"/>
        <v>6.730852072</v>
      </c>
      <c r="V158" s="208">
        <f t="shared" si="14"/>
        <v>7.042563399</v>
      </c>
    </row>
    <row r="159" ht="12.75" customHeight="1">
      <c r="B159" s="37">
        <f t="shared" si="3"/>
        <v>314.4654088</v>
      </c>
      <c r="C159" s="181">
        <v>13.0</v>
      </c>
      <c r="D159" s="181">
        <f t="shared" si="4"/>
        <v>63.26666667</v>
      </c>
      <c r="E159" s="208">
        <f t="shared" si="5"/>
        <v>3.727856532</v>
      </c>
      <c r="F159" s="208">
        <f t="shared" si="6"/>
        <v>4.970475376</v>
      </c>
      <c r="G159" s="208">
        <f t="shared" si="7"/>
        <v>6.21309422</v>
      </c>
      <c r="I159" s="181">
        <f t="shared" si="8"/>
        <v>63.26666667</v>
      </c>
      <c r="J159" s="208">
        <f t="shared" si="9"/>
        <v>3.727856532</v>
      </c>
      <c r="K159" s="208">
        <f t="shared" si="10"/>
        <v>4.970475376</v>
      </c>
      <c r="L159" s="208">
        <f t="shared" si="11"/>
        <v>6.21309422</v>
      </c>
      <c r="N159" s="181">
        <f t="shared" si="18"/>
        <v>43.8</v>
      </c>
      <c r="O159" s="208">
        <f>SOA!C41</f>
        <v>13.70952342</v>
      </c>
      <c r="P159" s="37" t="s">
        <v>284</v>
      </c>
      <c r="R159" s="181">
        <f t="shared" si="12"/>
        <v>63.26666667</v>
      </c>
      <c r="S159" s="208">
        <f t="shared" ref="S159:U159" si="27">IF($R159&gt;$F$129,0.0000000005,J159)</f>
        <v>0.0000000005</v>
      </c>
      <c r="T159" s="208">
        <f t="shared" si="27"/>
        <v>0.0000000005</v>
      </c>
      <c r="U159" s="208">
        <f t="shared" si="27"/>
        <v>0.0000000005</v>
      </c>
      <c r="V159" s="208">
        <f t="shared" si="14"/>
        <v>6.500827753</v>
      </c>
    </row>
    <row r="160" ht="12.75" customHeight="1">
      <c r="B160" s="37">
        <f t="shared" si="3"/>
        <v>314.4654088</v>
      </c>
      <c r="C160" s="181">
        <v>14.0</v>
      </c>
      <c r="D160" s="181">
        <f t="shared" si="4"/>
        <v>68.13333333</v>
      </c>
      <c r="E160" s="208">
        <f t="shared" si="5"/>
        <v>3.461581066</v>
      </c>
      <c r="F160" s="208">
        <f t="shared" si="6"/>
        <v>4.615441421</v>
      </c>
      <c r="G160" s="208">
        <f t="shared" si="7"/>
        <v>5.769301776</v>
      </c>
      <c r="I160" s="181">
        <f t="shared" si="8"/>
        <v>68.13333333</v>
      </c>
      <c r="J160" s="208">
        <f t="shared" si="9"/>
        <v>3.461581066</v>
      </c>
      <c r="K160" s="208">
        <f t="shared" si="10"/>
        <v>4.615441421</v>
      </c>
      <c r="L160" s="208">
        <f t="shared" si="11"/>
        <v>5.769301776</v>
      </c>
      <c r="N160" s="181">
        <f t="shared" si="18"/>
        <v>48.66666667</v>
      </c>
      <c r="O160" s="208">
        <f>O$164+((O$159-O$164)*4/6)</f>
        <v>9.139682277</v>
      </c>
      <c r="R160" s="181">
        <f t="shared" si="12"/>
        <v>68.13333333</v>
      </c>
      <c r="S160" s="208">
        <f t="shared" ref="S160:U160" si="28">IF($R160&gt;$F$129,0.0000000005,J160)</f>
        <v>0.0000000005</v>
      </c>
      <c r="T160" s="208">
        <f t="shared" si="28"/>
        <v>0.0000000005</v>
      </c>
      <c r="U160" s="208">
        <f t="shared" si="28"/>
        <v>0.0000000005</v>
      </c>
      <c r="V160" s="208">
        <f t="shared" si="14"/>
        <v>6.036482913</v>
      </c>
    </row>
    <row r="161" ht="12.75" customHeight="1">
      <c r="B161" s="37">
        <f t="shared" si="3"/>
        <v>314.4654088</v>
      </c>
      <c r="C161" s="181">
        <v>15.0</v>
      </c>
      <c r="D161" s="181">
        <f t="shared" si="4"/>
        <v>73</v>
      </c>
      <c r="E161" s="208">
        <f t="shared" si="5"/>
        <v>3.230808995</v>
      </c>
      <c r="F161" s="208">
        <f t="shared" si="6"/>
        <v>4.307745326</v>
      </c>
      <c r="G161" s="208">
        <f t="shared" si="7"/>
        <v>5.384681658</v>
      </c>
      <c r="I161" s="181">
        <f t="shared" si="8"/>
        <v>73</v>
      </c>
      <c r="J161" s="208">
        <f t="shared" si="9"/>
        <v>3.230808995</v>
      </c>
      <c r="K161" s="208">
        <f t="shared" si="10"/>
        <v>4.307745326</v>
      </c>
      <c r="L161" s="208">
        <f t="shared" si="11"/>
        <v>5.384681658</v>
      </c>
      <c r="N161" s="181">
        <f t="shared" si="18"/>
        <v>53.53333333</v>
      </c>
      <c r="O161" s="208">
        <f>O$164+((O$159-O$164)*3/7)</f>
        <v>5.875510035</v>
      </c>
      <c r="R161" s="181">
        <f t="shared" si="12"/>
        <v>73</v>
      </c>
      <c r="S161" s="208">
        <f t="shared" ref="S161:U161" si="29">IF($R161&gt;$F$129,0.0000000005,J161)</f>
        <v>0.0000000005</v>
      </c>
      <c r="T161" s="208">
        <f t="shared" si="29"/>
        <v>0.0000000005</v>
      </c>
      <c r="U161" s="208">
        <f t="shared" si="29"/>
        <v>0.0000000005</v>
      </c>
      <c r="V161" s="208">
        <f t="shared" si="14"/>
        <v>5.634050719</v>
      </c>
    </row>
    <row r="162" ht="12.75" customHeight="1">
      <c r="B162" s="37">
        <f t="shared" si="3"/>
        <v>314.4654088</v>
      </c>
      <c r="C162" s="181">
        <v>16.0</v>
      </c>
      <c r="D162" s="181">
        <f t="shared" si="4"/>
        <v>77.86666667</v>
      </c>
      <c r="E162" s="208">
        <f t="shared" si="5"/>
        <v>3.028883432</v>
      </c>
      <c r="F162" s="208">
        <f t="shared" si="6"/>
        <v>4.038511243</v>
      </c>
      <c r="G162" s="208">
        <f t="shared" si="7"/>
        <v>5.048139054</v>
      </c>
      <c r="I162" s="181">
        <f t="shared" si="8"/>
        <v>77.86666667</v>
      </c>
      <c r="J162" s="208">
        <f t="shared" si="9"/>
        <v>3.028883432</v>
      </c>
      <c r="K162" s="208">
        <f t="shared" si="10"/>
        <v>4.038511243</v>
      </c>
      <c r="L162" s="208">
        <f t="shared" si="11"/>
        <v>5.048139054</v>
      </c>
      <c r="N162" s="181">
        <f t="shared" si="18"/>
        <v>58.4</v>
      </c>
      <c r="O162" s="208">
        <f>O$164+((O$159-O$164)*2/8)</f>
        <v>3.427380854</v>
      </c>
      <c r="R162" s="181">
        <f t="shared" si="12"/>
        <v>77.86666667</v>
      </c>
      <c r="S162" s="208">
        <f t="shared" ref="S162:U162" si="30">IF($R162&gt;$F$129,0.0000000005,J162)</f>
        <v>0.0000000005</v>
      </c>
      <c r="T162" s="208">
        <f t="shared" si="30"/>
        <v>0.0000000005</v>
      </c>
      <c r="U162" s="208">
        <f t="shared" si="30"/>
        <v>0.0000000005</v>
      </c>
      <c r="V162" s="208">
        <f t="shared" si="14"/>
        <v>5.281922549</v>
      </c>
    </row>
    <row r="163" ht="12.75" customHeight="1">
      <c r="N163" s="181">
        <f t="shared" si="18"/>
        <v>63.26666667</v>
      </c>
      <c r="O163" s="208">
        <f>O$164+((O$159-O$164)*1/9)</f>
        <v>1.52328038</v>
      </c>
      <c r="R163" s="181"/>
      <c r="S163" s="208" t="str">
        <f t="shared" ref="S163:U163" si="31">IF($R163&gt;$F$129,0.0000000005,J163)</f>
        <v/>
      </c>
      <c r="T163" s="208" t="str">
        <f t="shared" si="31"/>
        <v/>
      </c>
      <c r="U163" s="208" t="str">
        <f t="shared" si="31"/>
        <v/>
      </c>
      <c r="V163" s="208" t="str">
        <f t="shared" si="14"/>
        <v>#DIV/0!</v>
      </c>
    </row>
    <row r="164" ht="12.75" customHeight="1">
      <c r="D164" s="30" t="s">
        <v>285</v>
      </c>
      <c r="N164" s="181">
        <f t="shared" si="18"/>
        <v>68.13333333</v>
      </c>
      <c r="O164" s="208" t="str">
        <f>SOA!C42</f>
        <v/>
      </c>
      <c r="P164" s="37" t="s">
        <v>284</v>
      </c>
      <c r="R164" s="181"/>
      <c r="S164" s="208" t="str">
        <f t="shared" ref="S164:U164" si="32">IF($R164&gt;$F$129,0.0000000005,J164)</f>
        <v/>
      </c>
      <c r="T164" s="208" t="str">
        <f t="shared" si="32"/>
        <v/>
      </c>
      <c r="U164" s="208" t="str">
        <f t="shared" si="32"/>
        <v/>
      </c>
      <c r="V164" s="208" t="str">
        <f t="shared" si="14"/>
        <v>#DIV/0!</v>
      </c>
    </row>
    <row r="165" ht="12.75" customHeight="1">
      <c r="N165" s="181">
        <f t="shared" si="18"/>
        <v>73</v>
      </c>
      <c r="O165" s="208">
        <f>O$169+((O$164-O$169)*4/6)</f>
        <v>0</v>
      </c>
      <c r="R165" s="181"/>
      <c r="S165" s="208" t="str">
        <f t="shared" ref="S165:U165" si="33">IF($R165&gt;$F$129,0.0000000005,J165)</f>
        <v/>
      </c>
      <c r="T165" s="208" t="str">
        <f t="shared" si="33"/>
        <v/>
      </c>
      <c r="U165" s="208" t="str">
        <f t="shared" si="33"/>
        <v/>
      </c>
      <c r="V165" s="208" t="str">
        <f t="shared" si="14"/>
        <v>#DIV/0!</v>
      </c>
    </row>
    <row r="166" ht="12.75" customHeight="1">
      <c r="D166" s="30" t="s">
        <v>286</v>
      </c>
      <c r="E166" s="37" t="str">
        <f>'Device Parmaters'!#REF!</f>
        <v>#ERROR!</v>
      </c>
      <c r="N166" s="181">
        <f t="shared" si="18"/>
        <v>77.86666667</v>
      </c>
      <c r="O166" s="208">
        <f>O$169+((O$164-O$169)*3/7)</f>
        <v>0</v>
      </c>
    </row>
    <row r="167" ht="12.75" customHeight="1">
      <c r="D167" s="30" t="s">
        <v>287</v>
      </c>
      <c r="E167" s="37">
        <f>RsEFF*0.001</f>
        <v>0.001</v>
      </c>
      <c r="N167" s="181"/>
      <c r="O167" s="208"/>
    </row>
    <row r="168" ht="12.75" customHeight="1">
      <c r="D168" s="30" t="s">
        <v>288</v>
      </c>
      <c r="E168" s="37">
        <f>VINMAX</f>
        <v>58.4</v>
      </c>
      <c r="N168" s="181"/>
      <c r="O168" s="208"/>
    </row>
    <row r="169" ht="12.75" customHeight="1">
      <c r="D169" s="30" t="s">
        <v>289</v>
      </c>
      <c r="E169" s="44"/>
      <c r="F169" s="37">
        <v>0.25</v>
      </c>
      <c r="N169" s="181"/>
      <c r="O169" s="208"/>
    </row>
    <row r="170" ht="12.75" customHeight="1"/>
    <row r="171" ht="12.75" customHeight="1">
      <c r="D171" s="190" t="s">
        <v>290</v>
      </c>
    </row>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D52:G52"/>
    <mergeCell ref="D61:G61"/>
    <mergeCell ref="D75:H7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0"/>
    <col customWidth="1" min="2" max="3" width="9.13"/>
    <col customWidth="1" min="4" max="5" width="15.0"/>
    <col customWidth="1" min="6" max="6" width="15.38"/>
    <col customWidth="1" min="7" max="7" width="14.88"/>
    <col customWidth="1" min="8" max="8" width="10.75"/>
    <col customWidth="1" min="9" max="9" width="12.38"/>
    <col customWidth="1" min="10" max="10" width="14.88"/>
    <col customWidth="1" min="11" max="11" width="12.88"/>
    <col customWidth="1" min="12" max="12" width="14.25"/>
    <col customWidth="1" min="13" max="13" width="20.88"/>
    <col customWidth="1" min="14" max="14" width="12.75"/>
    <col customWidth="1" min="15" max="15" width="10.13"/>
    <col customWidth="1" min="16" max="16" width="18.88"/>
    <col customWidth="1" min="17" max="17" width="10.88"/>
    <col customWidth="1" min="18" max="29" width="9.13"/>
  </cols>
  <sheetData>
    <row r="1" ht="12.75" customHeight="1">
      <c r="A1" s="30"/>
      <c r="B1" s="30" t="s">
        <v>275</v>
      </c>
      <c r="C1" s="30" t="s">
        <v>291</v>
      </c>
      <c r="D1" s="30" t="s">
        <v>292</v>
      </c>
      <c r="E1" s="30"/>
      <c r="F1" s="212" t="s">
        <v>293</v>
      </c>
      <c r="G1" s="212" t="s">
        <v>294</v>
      </c>
      <c r="H1" s="212" t="s">
        <v>295</v>
      </c>
      <c r="I1" s="212" t="s">
        <v>296</v>
      </c>
      <c r="J1" s="212" t="s">
        <v>297</v>
      </c>
      <c r="K1" s="212"/>
      <c r="L1" s="212"/>
      <c r="M1" s="212" t="s">
        <v>298</v>
      </c>
      <c r="N1" s="212"/>
      <c r="O1" s="212" t="s">
        <v>299</v>
      </c>
      <c r="P1" s="30"/>
      <c r="Q1" s="30" t="s">
        <v>300</v>
      </c>
      <c r="R1" s="30" t="s">
        <v>301</v>
      </c>
      <c r="S1" s="30"/>
      <c r="T1" s="30"/>
      <c r="U1" s="30"/>
      <c r="V1" s="30"/>
      <c r="W1" s="30"/>
      <c r="X1" s="30"/>
      <c r="Y1" s="30"/>
      <c r="Z1" s="30"/>
      <c r="AA1" s="30"/>
      <c r="AB1" s="30"/>
      <c r="AC1" s="30"/>
    </row>
    <row r="2" ht="12.75" customHeight="1">
      <c r="A2" s="30"/>
      <c r="B2" s="192">
        <f>'Design Calculator'!F67</f>
        <v>314.4654088</v>
      </c>
      <c r="C2" s="126">
        <f>'Design Calculator'!F47</f>
        <v>50</v>
      </c>
      <c r="D2" s="30" t="str">
        <f>IF( 'Design Calculator'!F69 = "Constant Current", "CC", "R")</f>
        <v>CC</v>
      </c>
      <c r="E2" s="30"/>
      <c r="F2" s="30" t="str">
        <f>'Design Calculator'!F71</f>
        <v>Yes</v>
      </c>
      <c r="G2" s="30">
        <f>'Design Calculator'!F70</f>
        <v>12</v>
      </c>
      <c r="H2" s="30">
        <f>'Design Calculator'!F68</f>
        <v>48</v>
      </c>
      <c r="I2" s="30">
        <f>RsEFF</f>
        <v>1</v>
      </c>
      <c r="J2" s="30">
        <v>0.0</v>
      </c>
      <c r="K2" s="30"/>
      <c r="L2" s="30"/>
      <c r="M2" s="192">
        <f>J114*1000</f>
        <v>103.5272727</v>
      </c>
      <c r="N2" s="30" t="s">
        <v>108</v>
      </c>
      <c r="O2" s="202">
        <f>MIN(L10:L111)</f>
        <v>0.1155794089</v>
      </c>
      <c r="P2" s="30"/>
      <c r="Q2" s="30">
        <f>'Device Parmaters'!E20/'Device Parmaters'!D20</f>
        <v>1.590909091</v>
      </c>
      <c r="R2" s="30">
        <f>'Device Parmaters'!C20/'Device Parmaters'!D20</f>
        <v>0.6818181818</v>
      </c>
      <c r="S2" s="30"/>
      <c r="T2" s="30"/>
      <c r="U2" s="30"/>
      <c r="V2" s="30"/>
      <c r="W2" s="30"/>
      <c r="X2" s="30"/>
      <c r="Y2" s="30"/>
      <c r="Z2" s="30"/>
      <c r="AA2" s="30"/>
      <c r="AB2" s="30"/>
      <c r="AC2" s="30"/>
    </row>
    <row r="3" ht="12.75" customHeight="1">
      <c r="A3" s="30"/>
      <c r="B3" s="192"/>
      <c r="C3" s="30"/>
      <c r="D3" s="30"/>
      <c r="E3" s="30"/>
      <c r="F3" s="30"/>
      <c r="G3" s="30"/>
      <c r="H3" s="30"/>
      <c r="I3" s="30"/>
      <c r="J3" s="30"/>
      <c r="K3" s="30"/>
      <c r="L3" s="30"/>
      <c r="M3" s="192"/>
      <c r="N3" s="30"/>
      <c r="O3" s="202"/>
      <c r="P3" s="30"/>
      <c r="Q3" s="30"/>
      <c r="R3" s="30"/>
      <c r="S3" s="30"/>
      <c r="T3" s="30"/>
      <c r="U3" s="30"/>
      <c r="V3" s="30"/>
      <c r="W3" s="30"/>
      <c r="X3" s="30"/>
      <c r="Y3" s="30"/>
      <c r="Z3" s="30"/>
      <c r="AA3" s="30"/>
      <c r="AB3" s="30"/>
      <c r="AC3" s="30"/>
    </row>
    <row r="4" ht="12.75" customHeight="1">
      <c r="A4" s="30"/>
      <c r="B4" s="192"/>
      <c r="C4" s="30"/>
      <c r="D4" s="30" t="s">
        <v>302</v>
      </c>
      <c r="E4" s="30"/>
      <c r="F4" s="30"/>
      <c r="G4" s="30"/>
      <c r="H4" s="30"/>
      <c r="I4" s="30"/>
      <c r="J4" s="30"/>
      <c r="K4" s="30"/>
      <c r="L4" s="30"/>
      <c r="M4" s="192" t="s">
        <v>303</v>
      </c>
      <c r="N4" s="30">
        <f>MIN(M10:M114)</f>
        <v>0.968467924</v>
      </c>
      <c r="O4" s="202" t="s">
        <v>118</v>
      </c>
      <c r="P4" s="30" t="s">
        <v>304</v>
      </c>
      <c r="Q4" s="30">
        <f>MAX(O10:O114)</f>
        <v>137.1432426</v>
      </c>
      <c r="R4" s="30" t="s">
        <v>57</v>
      </c>
      <c r="S4" s="30"/>
      <c r="T4" s="30"/>
      <c r="U4" s="30"/>
      <c r="V4" s="30"/>
      <c r="W4" s="30"/>
      <c r="X4" s="30"/>
      <c r="Y4" s="30"/>
      <c r="Z4" s="30"/>
      <c r="AA4" s="30"/>
      <c r="AB4" s="30"/>
      <c r="AC4" s="30"/>
    </row>
    <row r="5" ht="12.75" customHeight="1">
      <c r="A5" s="30"/>
      <c r="B5" s="192"/>
      <c r="C5" s="30"/>
      <c r="D5" s="30"/>
      <c r="E5" s="30"/>
      <c r="F5" s="30"/>
      <c r="G5" s="30"/>
      <c r="H5" s="30"/>
      <c r="I5" s="30"/>
      <c r="J5" s="30"/>
      <c r="K5" s="30"/>
      <c r="L5" s="30"/>
      <c r="M5" s="30" t="s">
        <v>305</v>
      </c>
      <c r="N5" s="213">
        <f>SUM(N10:N114)</f>
        <v>5.842134255</v>
      </c>
      <c r="O5" s="202" t="s">
        <v>248</v>
      </c>
      <c r="P5" s="30" t="s">
        <v>306</v>
      </c>
      <c r="Q5" s="30">
        <f>MAX(P10:P114)</f>
        <v>146.5097041</v>
      </c>
      <c r="R5" s="30" t="s">
        <v>57</v>
      </c>
      <c r="S5" s="30"/>
      <c r="T5" s="30"/>
      <c r="U5" s="30"/>
      <c r="V5" s="30"/>
      <c r="W5" s="30"/>
      <c r="X5" s="30"/>
      <c r="Y5" s="30"/>
      <c r="Z5" s="30"/>
      <c r="AA5" s="30"/>
      <c r="AB5" s="30"/>
      <c r="AC5" s="30"/>
    </row>
    <row r="6" ht="12.75" customHeight="1">
      <c r="A6" s="30"/>
      <c r="B6" s="30"/>
      <c r="C6" s="30"/>
      <c r="D6" s="30"/>
      <c r="E6" s="30"/>
      <c r="F6" s="30"/>
      <c r="G6" s="30"/>
      <c r="H6" s="30"/>
      <c r="I6" s="30"/>
      <c r="J6" s="30"/>
      <c r="K6" s="30"/>
      <c r="L6" s="30"/>
      <c r="M6" s="30"/>
      <c r="N6" s="30"/>
      <c r="O6" s="30"/>
      <c r="P6" s="30" t="s">
        <v>307</v>
      </c>
      <c r="Q6" s="30">
        <f>MAX(Q10:Q114)</f>
        <v>132.0997633</v>
      </c>
      <c r="R6" s="30" t="s">
        <v>57</v>
      </c>
      <c r="S6" s="30"/>
      <c r="T6" s="30"/>
      <c r="U6" s="30"/>
      <c r="V6" s="30"/>
      <c r="W6" s="30"/>
      <c r="X6" s="30"/>
      <c r="Y6" s="30"/>
      <c r="Z6" s="30"/>
      <c r="AA6" s="30"/>
      <c r="AB6" s="30"/>
      <c r="AC6" s="30"/>
    </row>
    <row r="7" ht="12.75" customHeight="1">
      <c r="A7" s="214" t="s">
        <v>308</v>
      </c>
      <c r="B7" s="199" t="s">
        <v>309</v>
      </c>
      <c r="C7" s="199" t="s">
        <v>310</v>
      </c>
      <c r="D7" s="199" t="s">
        <v>275</v>
      </c>
      <c r="E7" s="199" t="s">
        <v>311</v>
      </c>
      <c r="F7" s="199" t="s">
        <v>312</v>
      </c>
      <c r="G7" s="199" t="s">
        <v>313</v>
      </c>
      <c r="H7" s="199" t="s">
        <v>314</v>
      </c>
      <c r="I7" s="215" t="s">
        <v>315</v>
      </c>
      <c r="J7" s="199" t="s">
        <v>316</v>
      </c>
      <c r="K7" s="199" t="s">
        <v>317</v>
      </c>
      <c r="L7" s="214" t="s">
        <v>318</v>
      </c>
      <c r="M7" s="214" t="s">
        <v>319</v>
      </c>
      <c r="N7" s="214" t="s">
        <v>320</v>
      </c>
      <c r="O7" s="214" t="s">
        <v>321</v>
      </c>
      <c r="P7" s="30" t="s">
        <v>322</v>
      </c>
      <c r="Q7" s="30" t="s">
        <v>323</v>
      </c>
      <c r="R7" s="30"/>
      <c r="S7" s="30"/>
      <c r="T7" s="30"/>
      <c r="U7" s="30"/>
      <c r="V7" s="30"/>
      <c r="W7" s="30"/>
      <c r="X7" s="30"/>
      <c r="Y7" s="30"/>
      <c r="Z7" s="30"/>
      <c r="AA7" s="30"/>
      <c r="AB7" s="30"/>
      <c r="AC7" s="30"/>
    </row>
    <row r="8" ht="12.75" customHeight="1">
      <c r="A8" s="214"/>
      <c r="B8" s="199"/>
      <c r="C8" s="199"/>
      <c r="D8" s="199"/>
      <c r="E8" s="199"/>
      <c r="F8" s="199"/>
      <c r="G8" s="199"/>
      <c r="H8" s="199"/>
      <c r="I8" s="199"/>
      <c r="J8" s="199"/>
      <c r="K8" s="195">
        <v>-10.0</v>
      </c>
      <c r="L8" s="214"/>
      <c r="M8" s="214"/>
      <c r="N8" s="214"/>
      <c r="O8" s="30">
        <v>0.0</v>
      </c>
      <c r="P8" s="30"/>
      <c r="Q8" s="30"/>
      <c r="R8" s="30"/>
      <c r="S8" s="30"/>
      <c r="T8" s="30"/>
      <c r="U8" s="30"/>
      <c r="V8" s="30"/>
      <c r="W8" s="30"/>
      <c r="X8" s="30"/>
      <c r="Y8" s="30"/>
      <c r="Z8" s="30"/>
      <c r="AA8" s="30"/>
      <c r="AB8" s="30"/>
      <c r="AC8" s="30"/>
    </row>
    <row r="9" ht="12.75" customHeight="1">
      <c r="A9" s="214"/>
      <c r="B9" s="199"/>
      <c r="C9" s="199"/>
      <c r="D9" s="199"/>
      <c r="E9" s="199"/>
      <c r="F9" s="199"/>
      <c r="G9" s="199"/>
      <c r="H9" s="199"/>
      <c r="I9" s="199"/>
      <c r="J9" s="199"/>
      <c r="K9" s="205">
        <v>-0.01</v>
      </c>
      <c r="L9" s="214"/>
      <c r="M9" s="214"/>
      <c r="N9" s="214"/>
      <c r="O9" s="30">
        <v>0.0</v>
      </c>
      <c r="P9" s="30"/>
      <c r="Q9" s="30"/>
      <c r="R9" s="30"/>
      <c r="S9" s="30"/>
      <c r="T9" s="30"/>
      <c r="U9" s="30"/>
      <c r="V9" s="30"/>
      <c r="W9" s="30"/>
      <c r="X9" s="30"/>
      <c r="Y9" s="30"/>
      <c r="Z9" s="30"/>
      <c r="AA9" s="30"/>
      <c r="AB9" s="30"/>
      <c r="AC9" s="30"/>
    </row>
    <row r="10" ht="12.75" customHeight="1">
      <c r="A10" s="30">
        <f>VINMAX</f>
        <v>58.4</v>
      </c>
      <c r="B10" s="216">
        <f>VINMAX*((ROW()-10)/104)</f>
        <v>0</v>
      </c>
      <c r="C10" s="196">
        <f t="shared" ref="C10:C114" si="1">IF(B10&gt;=$H$2,IF($D$2="CC", $G$2, B10/$G$2), 0)</f>
        <v>0</v>
      </c>
      <c r="D10" s="205">
        <f t="shared" ref="D10:D114" si="2">$B$2-B10*$J$2/($I$2*0.001)</f>
        <v>314.4654088</v>
      </c>
      <c r="E10" s="44">
        <f t="shared" ref="E10:E110" si="3">MIN(D10/(A10-B10),$C$2)</f>
        <v>5.384681658</v>
      </c>
      <c r="F10" s="196">
        <f>I_Cout_ss+C10</f>
        <v>1.568205128</v>
      </c>
      <c r="G10" s="196">
        <f t="shared" ref="G10:G114" si="4">IF($F$2="YES", F10, E10)</f>
        <v>1.568205128</v>
      </c>
      <c r="H10" s="196">
        <f t="shared" ref="H10:H114" si="5">G10-C10</f>
        <v>1.568205128</v>
      </c>
      <c r="I10" s="201">
        <f>(COUTMAX/1000000)*(B10)/H10</f>
        <v>0</v>
      </c>
      <c r="J10" s="201">
        <f>I10</f>
        <v>0</v>
      </c>
      <c r="K10" s="195">
        <f t="shared" ref="K10:K114" si="6">J10*1000</f>
        <v>0</v>
      </c>
      <c r="L10" s="202">
        <f t="shared" ref="L10:L114" si="7">H10/G10</f>
        <v>1</v>
      </c>
      <c r="M10" s="30">
        <f>1/COUTMAX*(E10/2-C10)*1000</f>
        <v>0.968467924</v>
      </c>
      <c r="N10" s="213">
        <f t="shared" ref="N10:N114" si="8">I10*G10*(A10-B10)</f>
        <v>0</v>
      </c>
      <c r="O10" s="30">
        <f t="shared" ref="O10:O114" si="9">G10*(A10-B10)</f>
        <v>91.58317949</v>
      </c>
      <c r="P10" s="30">
        <f>(A10-B10)*(I_Cout_ss*$Q$2+C10)</f>
        <v>145.7005128</v>
      </c>
      <c r="Q10" s="30">
        <f>(A10-B10)*(I_Cout_ss*$R$2+C10)</f>
        <v>62.44307692</v>
      </c>
      <c r="R10" s="30"/>
      <c r="S10" s="30"/>
      <c r="T10" s="30"/>
      <c r="U10" s="30"/>
      <c r="V10" s="30"/>
      <c r="W10" s="30"/>
      <c r="X10" s="30"/>
      <c r="Y10" s="30"/>
      <c r="Z10" s="30"/>
      <c r="AA10" s="30"/>
      <c r="AB10" s="30"/>
      <c r="AC10" s="30"/>
    </row>
    <row r="11" ht="12.75" customHeight="1">
      <c r="A11" s="30">
        <f>VINMAX</f>
        <v>58.4</v>
      </c>
      <c r="B11" s="216">
        <f>VINMAX*((ROW()-10)/104)</f>
        <v>0.5615384615</v>
      </c>
      <c r="C11" s="196">
        <f t="shared" si="1"/>
        <v>0</v>
      </c>
      <c r="D11" s="205">
        <f t="shared" si="2"/>
        <v>314.4654088</v>
      </c>
      <c r="E11" s="44">
        <f t="shared" si="3"/>
        <v>5.43696012</v>
      </c>
      <c r="F11" s="196">
        <f>I_Cout_ss+C11</f>
        <v>1.568205128</v>
      </c>
      <c r="G11" s="196">
        <f t="shared" si="4"/>
        <v>1.568205128</v>
      </c>
      <c r="H11" s="196">
        <f t="shared" si="5"/>
        <v>1.568205128</v>
      </c>
      <c r="I11" s="201">
        <f>(COUTMAX/1000000)*(B11-B10)/H11</f>
        <v>0.0009954545455</v>
      </c>
      <c r="J11" s="201">
        <f t="shared" ref="J11:J114" si="10">J10+I11</f>
        <v>0.0009954545455</v>
      </c>
      <c r="K11" s="195">
        <f t="shared" si="6"/>
        <v>0.9954545455</v>
      </c>
      <c r="L11" s="202">
        <f t="shared" si="7"/>
        <v>1</v>
      </c>
      <c r="M11" s="30">
        <f>1/COUTMAX*(E11/2-C11)*1000</f>
        <v>0.9778705252</v>
      </c>
      <c r="N11" s="213">
        <f t="shared" si="8"/>
        <v>0.09029028757</v>
      </c>
      <c r="O11" s="30">
        <f t="shared" si="9"/>
        <v>90.70257199</v>
      </c>
      <c r="P11" s="30">
        <f>(A11-B11)*(I_Cout_ss*$Q$2+C11)</f>
        <v>144.2995464</v>
      </c>
      <c r="Q11" s="30">
        <f>(A11-B11)*(I_Cout_ss*$R$2+C11)</f>
        <v>61.84266272</v>
      </c>
      <c r="R11" s="30"/>
      <c r="S11" s="30"/>
      <c r="T11" s="30"/>
      <c r="U11" s="30"/>
      <c r="V11" s="30"/>
      <c r="W11" s="30"/>
      <c r="X11" s="30"/>
      <c r="Y11" s="30"/>
      <c r="Z11" s="30"/>
      <c r="AA11" s="30"/>
      <c r="AB11" s="30"/>
      <c r="AC11" s="30"/>
    </row>
    <row r="12" ht="12.75" customHeight="1">
      <c r="A12" s="30">
        <f>VINMAX</f>
        <v>58.4</v>
      </c>
      <c r="B12" s="216">
        <f>VINMAX*((ROW()-10)/104)</f>
        <v>1.123076923</v>
      </c>
      <c r="C12" s="196">
        <f t="shared" si="1"/>
        <v>0</v>
      </c>
      <c r="D12" s="205">
        <f t="shared" si="2"/>
        <v>314.4654088</v>
      </c>
      <c r="E12" s="44">
        <f t="shared" si="3"/>
        <v>5.490263651</v>
      </c>
      <c r="F12" s="196">
        <f>I_Cout_ss+C12</f>
        <v>1.568205128</v>
      </c>
      <c r="G12" s="196">
        <f t="shared" si="4"/>
        <v>1.568205128</v>
      </c>
      <c r="H12" s="196">
        <f t="shared" si="5"/>
        <v>1.568205128</v>
      </c>
      <c r="I12" s="201">
        <f>(COUTMAX/1000000)*(B12-B11)/H12</f>
        <v>0.0009954545455</v>
      </c>
      <c r="J12" s="201">
        <f t="shared" si="10"/>
        <v>0.001990909091</v>
      </c>
      <c r="K12" s="195">
        <f t="shared" si="6"/>
        <v>1.990909091</v>
      </c>
      <c r="L12" s="202">
        <f t="shared" si="7"/>
        <v>1</v>
      </c>
      <c r="M12" s="30">
        <f>1/COUTMAX*(E12/2-C12)*1000</f>
        <v>0.9874574912</v>
      </c>
      <c r="N12" s="213">
        <f t="shared" si="8"/>
        <v>0.08941368284</v>
      </c>
      <c r="O12" s="30">
        <f t="shared" si="9"/>
        <v>89.8219645</v>
      </c>
      <c r="P12" s="30">
        <f>(A12-B12)*(I_Cout_ss*$Q$2+C12)</f>
        <v>142.8985799</v>
      </c>
      <c r="Q12" s="30">
        <f>(A12-B12)*(I_Cout_ss*$R$2+C12)</f>
        <v>61.24224852</v>
      </c>
      <c r="R12" s="30"/>
      <c r="S12" s="30"/>
      <c r="T12" s="30"/>
      <c r="U12" s="30"/>
      <c r="V12" s="30"/>
      <c r="W12" s="30"/>
      <c r="X12" s="217" t="s">
        <v>324</v>
      </c>
      <c r="Y12" s="218"/>
      <c r="Z12" s="30"/>
      <c r="AA12" s="30"/>
      <c r="AB12" s="30"/>
      <c r="AC12" s="30"/>
    </row>
    <row r="13" ht="12.75" customHeight="1">
      <c r="A13" s="30">
        <f>VINMAX</f>
        <v>58.4</v>
      </c>
      <c r="B13" s="216">
        <f>VINMAX*((ROW()-10)/104)</f>
        <v>1.684615385</v>
      </c>
      <c r="C13" s="196">
        <f t="shared" si="1"/>
        <v>0</v>
      </c>
      <c r="D13" s="205">
        <f t="shared" si="2"/>
        <v>314.4654088</v>
      </c>
      <c r="E13" s="44">
        <f t="shared" si="3"/>
        <v>5.544622697</v>
      </c>
      <c r="F13" s="196">
        <f>I_Cout_ss+C13</f>
        <v>1.568205128</v>
      </c>
      <c r="G13" s="196">
        <f t="shared" si="4"/>
        <v>1.568205128</v>
      </c>
      <c r="H13" s="196">
        <f t="shared" si="5"/>
        <v>1.568205128</v>
      </c>
      <c r="I13" s="201">
        <f>(COUTMAX/1000000)*(B13-B12)/H13</f>
        <v>0.0009954545455</v>
      </c>
      <c r="J13" s="201">
        <f t="shared" si="10"/>
        <v>0.002986363636</v>
      </c>
      <c r="K13" s="195">
        <f t="shared" si="6"/>
        <v>2.986363636</v>
      </c>
      <c r="L13" s="202">
        <f t="shared" si="7"/>
        <v>1</v>
      </c>
      <c r="M13" s="30">
        <f>1/COUTMAX*(E13/2-C13)*1000</f>
        <v>0.997234298</v>
      </c>
      <c r="N13" s="213">
        <f t="shared" si="8"/>
        <v>0.08853707811</v>
      </c>
      <c r="O13" s="30">
        <f t="shared" si="9"/>
        <v>88.941357</v>
      </c>
      <c r="P13" s="30">
        <f>(A13-B13)*(I_Cout_ss*$Q$2+C13)</f>
        <v>141.4976134</v>
      </c>
      <c r="Q13" s="30">
        <f>(A13-B13)*(I_Cout_ss*$R$2+C13)</f>
        <v>60.64183432</v>
      </c>
      <c r="R13" s="30"/>
      <c r="S13" s="30"/>
      <c r="T13" s="30"/>
      <c r="U13" s="30"/>
      <c r="V13" s="30"/>
      <c r="W13" s="30"/>
      <c r="X13" s="219" t="s">
        <v>325</v>
      </c>
      <c r="Y13" s="219">
        <v>0.3</v>
      </c>
      <c r="Z13" s="30"/>
      <c r="AA13" s="30"/>
      <c r="AB13" s="30"/>
      <c r="AC13" s="30"/>
    </row>
    <row r="14" ht="12.75" customHeight="1">
      <c r="A14" s="30">
        <f>VINMAX</f>
        <v>58.4</v>
      </c>
      <c r="B14" s="216">
        <f>VINMAX*((ROW()-10)/104)</f>
        <v>2.246153846</v>
      </c>
      <c r="C14" s="196">
        <f t="shared" si="1"/>
        <v>0</v>
      </c>
      <c r="D14" s="205">
        <f t="shared" si="2"/>
        <v>314.4654088</v>
      </c>
      <c r="E14" s="44">
        <f t="shared" si="3"/>
        <v>5.600068924</v>
      </c>
      <c r="F14" s="196">
        <f>I_Cout_ss+C14</f>
        <v>1.568205128</v>
      </c>
      <c r="G14" s="196">
        <f t="shared" si="4"/>
        <v>1.568205128</v>
      </c>
      <c r="H14" s="196">
        <f t="shared" si="5"/>
        <v>1.568205128</v>
      </c>
      <c r="I14" s="201">
        <f>(COUTMAX/1000000)*(B14-B13)/H14</f>
        <v>0.0009954545455</v>
      </c>
      <c r="J14" s="201">
        <f t="shared" si="10"/>
        <v>0.003981818182</v>
      </c>
      <c r="K14" s="195">
        <f t="shared" si="6"/>
        <v>3.981818182</v>
      </c>
      <c r="L14" s="202">
        <f t="shared" si="7"/>
        <v>1</v>
      </c>
      <c r="M14" s="30">
        <f>1/COUTMAX*(E14/2-C14)*1000</f>
        <v>1.007206641</v>
      </c>
      <c r="N14" s="213">
        <f t="shared" si="8"/>
        <v>0.08766047337</v>
      </c>
      <c r="O14" s="30">
        <f t="shared" si="9"/>
        <v>88.06074951</v>
      </c>
      <c r="P14" s="30">
        <f>(A14-B14)*(I_Cout_ss*$Q$2+C14)</f>
        <v>140.0966469</v>
      </c>
      <c r="Q14" s="30">
        <f>(A14-B14)*(I_Cout_ss*$R$2+C14)</f>
        <v>60.04142012</v>
      </c>
      <c r="R14" s="30"/>
      <c r="S14" s="30"/>
      <c r="T14" s="30"/>
      <c r="U14" s="30"/>
      <c r="V14" s="30"/>
      <c r="W14" s="30"/>
      <c r="X14" s="219" t="s">
        <v>326</v>
      </c>
      <c r="Y14" s="219">
        <v>0.3</v>
      </c>
      <c r="Z14" s="30"/>
      <c r="AA14" s="30"/>
      <c r="AB14" s="30"/>
      <c r="AC14" s="30"/>
    </row>
    <row r="15" ht="12.75" customHeight="1">
      <c r="A15" s="30">
        <f>VINMAX</f>
        <v>58.4</v>
      </c>
      <c r="B15" s="216">
        <f>VINMAX*((ROW()-10)/104)</f>
        <v>2.807692308</v>
      </c>
      <c r="C15" s="196">
        <f t="shared" si="1"/>
        <v>0</v>
      </c>
      <c r="D15" s="205">
        <f t="shared" si="2"/>
        <v>314.4654088</v>
      </c>
      <c r="E15" s="44">
        <f t="shared" si="3"/>
        <v>5.656635277</v>
      </c>
      <c r="F15" s="196">
        <f>I_Cout_ss+C15</f>
        <v>1.568205128</v>
      </c>
      <c r="G15" s="196">
        <f t="shared" si="4"/>
        <v>1.568205128</v>
      </c>
      <c r="H15" s="196">
        <f t="shared" si="5"/>
        <v>1.568205128</v>
      </c>
      <c r="I15" s="201">
        <f>(COUTMAX/1000000)*(B15-B14)/H15</f>
        <v>0.0009954545455</v>
      </c>
      <c r="J15" s="201">
        <f t="shared" si="10"/>
        <v>0.004977272727</v>
      </c>
      <c r="K15" s="195">
        <f t="shared" si="6"/>
        <v>4.977272727</v>
      </c>
      <c r="L15" s="202">
        <f t="shared" si="7"/>
        <v>1</v>
      </c>
      <c r="M15" s="30">
        <f>1/COUTMAX*(E15/2-C15)*1000</f>
        <v>1.017380445</v>
      </c>
      <c r="N15" s="213">
        <f t="shared" si="8"/>
        <v>0.08678386864</v>
      </c>
      <c r="O15" s="30">
        <f t="shared" si="9"/>
        <v>87.18014201</v>
      </c>
      <c r="P15" s="30">
        <f>(A15-B15)*(I_Cout_ss*$Q$2+C15)</f>
        <v>138.6956805</v>
      </c>
      <c r="Q15" s="30">
        <f>(A15-B15)*(I_Cout_ss*$R$2+C15)</f>
        <v>59.44100592</v>
      </c>
      <c r="R15" s="30"/>
      <c r="S15" s="30"/>
      <c r="T15" s="30"/>
      <c r="U15" s="30"/>
      <c r="V15" s="30"/>
      <c r="W15" s="30"/>
      <c r="X15" s="219" t="s">
        <v>327</v>
      </c>
      <c r="Y15" s="219">
        <f>SQRT(Y14^2+Y13^2)</f>
        <v>0.4242640687</v>
      </c>
      <c r="Z15" s="30"/>
      <c r="AA15" s="30"/>
      <c r="AB15" s="30"/>
      <c r="AC15" s="30"/>
    </row>
    <row r="16" ht="12.75" customHeight="1">
      <c r="A16" s="30">
        <f>VINMAX</f>
        <v>58.4</v>
      </c>
      <c r="B16" s="216">
        <f>VINMAX*((ROW()-10)/104)</f>
        <v>3.369230769</v>
      </c>
      <c r="C16" s="196">
        <f t="shared" si="1"/>
        <v>0</v>
      </c>
      <c r="D16" s="205">
        <f t="shared" si="2"/>
        <v>314.4654088</v>
      </c>
      <c r="E16" s="44">
        <f t="shared" si="3"/>
        <v>5.714356045</v>
      </c>
      <c r="F16" s="196">
        <f>I_Cout_ss+C16</f>
        <v>1.568205128</v>
      </c>
      <c r="G16" s="196">
        <f t="shared" si="4"/>
        <v>1.568205128</v>
      </c>
      <c r="H16" s="196">
        <f t="shared" si="5"/>
        <v>1.568205128</v>
      </c>
      <c r="I16" s="201">
        <f>(COUTMAX/1000000)*(B16-B15)/H16</f>
        <v>0.0009954545455</v>
      </c>
      <c r="J16" s="201">
        <f t="shared" si="10"/>
        <v>0.005972727273</v>
      </c>
      <c r="K16" s="195">
        <f t="shared" si="6"/>
        <v>5.972727273</v>
      </c>
      <c r="L16" s="202">
        <f t="shared" si="7"/>
        <v>1</v>
      </c>
      <c r="M16" s="30">
        <f>1/COUTMAX*(E16/2-C16)*1000</f>
        <v>1.027761879</v>
      </c>
      <c r="N16" s="213">
        <f t="shared" si="8"/>
        <v>0.08590726391</v>
      </c>
      <c r="O16" s="30">
        <f t="shared" si="9"/>
        <v>86.29953452</v>
      </c>
      <c r="P16" s="30">
        <f>(A16-B16)*(I_Cout_ss*$Q$2+C16)</f>
        <v>137.294714</v>
      </c>
      <c r="Q16" s="30">
        <f>(A16-B16)*(I_Cout_ss*$R$2+C16)</f>
        <v>58.84059172</v>
      </c>
      <c r="R16" s="30"/>
      <c r="S16" s="30"/>
      <c r="T16" s="30"/>
      <c r="U16" s="30"/>
      <c r="V16" s="30"/>
      <c r="W16" s="30"/>
      <c r="X16" s="219"/>
      <c r="Y16" s="219"/>
      <c r="Z16" s="30"/>
      <c r="AA16" s="30"/>
      <c r="AB16" s="30"/>
      <c r="AC16" s="30"/>
    </row>
    <row r="17" ht="12.75" customHeight="1">
      <c r="A17" s="30">
        <f>VINMAX</f>
        <v>58.4</v>
      </c>
      <c r="B17" s="216">
        <f>VINMAX*((ROW()-10)/104)</f>
        <v>3.930769231</v>
      </c>
      <c r="C17" s="196">
        <f t="shared" si="1"/>
        <v>0</v>
      </c>
      <c r="D17" s="205">
        <f t="shared" si="2"/>
        <v>314.4654088</v>
      </c>
      <c r="E17" s="44">
        <f t="shared" si="3"/>
        <v>5.773266932</v>
      </c>
      <c r="F17" s="196">
        <f>I_Cout_ss+C17</f>
        <v>1.568205128</v>
      </c>
      <c r="G17" s="196">
        <f t="shared" si="4"/>
        <v>1.568205128</v>
      </c>
      <c r="H17" s="196">
        <f t="shared" si="5"/>
        <v>1.568205128</v>
      </c>
      <c r="I17" s="201">
        <f>(COUTMAX/1000000)*(B17-B16)/H17</f>
        <v>0.0009954545455</v>
      </c>
      <c r="J17" s="201">
        <f t="shared" si="10"/>
        <v>0.006968181818</v>
      </c>
      <c r="K17" s="195">
        <f t="shared" si="6"/>
        <v>6.968181818</v>
      </c>
      <c r="L17" s="202">
        <f t="shared" si="7"/>
        <v>1</v>
      </c>
      <c r="M17" s="30">
        <f>1/COUTMAX*(E17/2-C17)*1000</f>
        <v>1.038357362</v>
      </c>
      <c r="N17" s="213">
        <f t="shared" si="8"/>
        <v>0.08503065917</v>
      </c>
      <c r="O17" s="30">
        <f t="shared" si="9"/>
        <v>85.41892702</v>
      </c>
      <c r="P17" s="30">
        <f>(A17-B17)*(I_Cout_ss*$Q$2+C17)</f>
        <v>135.8937475</v>
      </c>
      <c r="Q17" s="30">
        <f>(A17-B17)*(I_Cout_ss*$R$2+C17)</f>
        <v>58.24017751</v>
      </c>
      <c r="R17" s="30"/>
      <c r="S17" s="30"/>
      <c r="T17" s="30"/>
      <c r="U17" s="30"/>
      <c r="V17" s="30"/>
      <c r="W17" s="30"/>
      <c r="X17" s="219" t="s">
        <v>275</v>
      </c>
      <c r="Y17" s="219">
        <v>0.3</v>
      </c>
      <c r="Z17" s="30"/>
      <c r="AA17" s="30"/>
      <c r="AB17" s="30"/>
      <c r="AC17" s="30"/>
    </row>
    <row r="18" ht="12.75" customHeight="1">
      <c r="A18" s="30">
        <f>VINMAX</f>
        <v>58.4</v>
      </c>
      <c r="B18" s="216">
        <f>VINMAX*((ROW()-10)/104)</f>
        <v>4.492307692</v>
      </c>
      <c r="C18" s="196">
        <f t="shared" si="1"/>
        <v>0</v>
      </c>
      <c r="D18" s="205">
        <f t="shared" si="2"/>
        <v>314.4654088</v>
      </c>
      <c r="E18" s="44">
        <f t="shared" si="3"/>
        <v>5.833405129</v>
      </c>
      <c r="F18" s="196">
        <f>I_Cout_ss+C18</f>
        <v>1.568205128</v>
      </c>
      <c r="G18" s="196">
        <f t="shared" si="4"/>
        <v>1.568205128</v>
      </c>
      <c r="H18" s="196">
        <f t="shared" si="5"/>
        <v>1.568205128</v>
      </c>
      <c r="I18" s="201">
        <f>(COUTMAX/1000000)*(B18-B17)/H18</f>
        <v>0.0009954545455</v>
      </c>
      <c r="J18" s="201">
        <f t="shared" si="10"/>
        <v>0.007963636364</v>
      </c>
      <c r="K18" s="195">
        <f t="shared" si="6"/>
        <v>7.963636364</v>
      </c>
      <c r="L18" s="202">
        <f t="shared" si="7"/>
        <v>1</v>
      </c>
      <c r="M18" s="30">
        <f>1/COUTMAX*(E18/2-C18)*1000</f>
        <v>1.049173584</v>
      </c>
      <c r="N18" s="213">
        <f t="shared" si="8"/>
        <v>0.08415405444</v>
      </c>
      <c r="O18" s="30">
        <f t="shared" si="9"/>
        <v>84.53831953</v>
      </c>
      <c r="P18" s="30">
        <f>(A18-B18)*(I_Cout_ss*$Q$2+C18)</f>
        <v>134.4927811</v>
      </c>
      <c r="Q18" s="30">
        <f>(A18-B18)*(I_Cout_ss*$R$2+C18)</f>
        <v>57.63976331</v>
      </c>
      <c r="R18" s="30"/>
      <c r="S18" s="30"/>
      <c r="T18" s="30"/>
      <c r="U18" s="30"/>
      <c r="V18" s="30"/>
      <c r="W18" s="30"/>
      <c r="X18" s="219" t="s">
        <v>328</v>
      </c>
      <c r="Y18" s="219">
        <f>MAX(Y15:Y17)</f>
        <v>0.4242640687</v>
      </c>
      <c r="Z18" s="30"/>
      <c r="AA18" s="30"/>
      <c r="AB18" s="30"/>
      <c r="AC18" s="30"/>
    </row>
    <row r="19" ht="12.75" customHeight="1">
      <c r="A19" s="30">
        <f>VINMAX</f>
        <v>58.4</v>
      </c>
      <c r="B19" s="216">
        <f>VINMAX*((ROW()-10)/104)</f>
        <v>5.053846154</v>
      </c>
      <c r="C19" s="196">
        <f t="shared" si="1"/>
        <v>0</v>
      </c>
      <c r="D19" s="205">
        <f t="shared" si="2"/>
        <v>314.4654088</v>
      </c>
      <c r="E19" s="44">
        <f t="shared" si="3"/>
        <v>5.894809394</v>
      </c>
      <c r="F19" s="196">
        <f>I_Cout_ss+C19</f>
        <v>1.568205128</v>
      </c>
      <c r="G19" s="196">
        <f t="shared" si="4"/>
        <v>1.568205128</v>
      </c>
      <c r="H19" s="196">
        <f t="shared" si="5"/>
        <v>1.568205128</v>
      </c>
      <c r="I19" s="201">
        <f>(COUTMAX/1000000)*(B19-B18)/H19</f>
        <v>0.0009954545455</v>
      </c>
      <c r="J19" s="201">
        <f t="shared" si="10"/>
        <v>0.008959090909</v>
      </c>
      <c r="K19" s="195">
        <f t="shared" si="6"/>
        <v>8.959090909</v>
      </c>
      <c r="L19" s="202">
        <f t="shared" si="7"/>
        <v>1</v>
      </c>
      <c r="M19" s="30">
        <f>1/COUTMAX*(E19/2-C19)*1000</f>
        <v>1.060217517</v>
      </c>
      <c r="N19" s="213">
        <f t="shared" si="8"/>
        <v>0.0832774497</v>
      </c>
      <c r="O19" s="30">
        <f t="shared" si="9"/>
        <v>83.65771203</v>
      </c>
      <c r="P19" s="30">
        <f>(A19-B19)*(I_Cout_ss*$Q$2+C19)</f>
        <v>133.0918146</v>
      </c>
      <c r="Q19" s="30">
        <f>(A19-B19)*(I_Cout_ss*$R$2+C19)</f>
        <v>57.03934911</v>
      </c>
      <c r="R19" s="30"/>
      <c r="S19" s="30"/>
      <c r="T19" s="30"/>
      <c r="U19" s="30"/>
      <c r="V19" s="30"/>
      <c r="W19" s="30"/>
      <c r="X19" s="219"/>
      <c r="Y19" s="219"/>
      <c r="Z19" s="30"/>
      <c r="AA19" s="30"/>
      <c r="AB19" s="30"/>
      <c r="AC19" s="30"/>
    </row>
    <row r="20" ht="12.75" customHeight="1">
      <c r="A20" s="30">
        <f>VINMAX</f>
        <v>58.4</v>
      </c>
      <c r="B20" s="216">
        <f>VINMAX*((ROW()-10)/104)</f>
        <v>5.615384615</v>
      </c>
      <c r="C20" s="196">
        <f t="shared" si="1"/>
        <v>0</v>
      </c>
      <c r="D20" s="205">
        <f t="shared" si="2"/>
        <v>314.4654088</v>
      </c>
      <c r="E20" s="44">
        <f t="shared" si="3"/>
        <v>5.957520132</v>
      </c>
      <c r="F20" s="196">
        <f>I_Cout_ss+C20</f>
        <v>1.568205128</v>
      </c>
      <c r="G20" s="196">
        <f t="shared" si="4"/>
        <v>1.568205128</v>
      </c>
      <c r="H20" s="196">
        <f t="shared" si="5"/>
        <v>1.568205128</v>
      </c>
      <c r="I20" s="201">
        <f>(COUTMAX/1000000)*(B20-B19)/H20</f>
        <v>0.0009954545455</v>
      </c>
      <c r="J20" s="201">
        <f t="shared" si="10"/>
        <v>0.009954545455</v>
      </c>
      <c r="K20" s="195">
        <f t="shared" si="6"/>
        <v>9.954545455</v>
      </c>
      <c r="L20" s="202">
        <f t="shared" si="7"/>
        <v>1</v>
      </c>
      <c r="M20" s="30">
        <f>1/COUTMAX*(E20/2-C20)*1000</f>
        <v>1.071496427</v>
      </c>
      <c r="N20" s="213">
        <f t="shared" si="8"/>
        <v>0.08240084497</v>
      </c>
      <c r="O20" s="30">
        <f t="shared" si="9"/>
        <v>82.77710454</v>
      </c>
      <c r="P20" s="30">
        <f>(A20-B20)*(I_Cout_ss*$Q$2+C20)</f>
        <v>131.6908481</v>
      </c>
      <c r="Q20" s="30">
        <f>(A20-B20)*(I_Cout_ss*$R$2+C20)</f>
        <v>56.43893491</v>
      </c>
      <c r="R20" s="30"/>
      <c r="S20" s="30"/>
      <c r="T20" s="30"/>
      <c r="U20" s="30"/>
      <c r="V20" s="30"/>
      <c r="W20" s="30"/>
      <c r="X20" s="219" t="s">
        <v>329</v>
      </c>
      <c r="Y20" s="219">
        <v>0.2</v>
      </c>
      <c r="Z20" s="30"/>
      <c r="AA20" s="30"/>
      <c r="AB20" s="30"/>
      <c r="AC20" s="30"/>
    </row>
    <row r="21" ht="12.75" customHeight="1">
      <c r="A21" s="30">
        <f>VINMAX</f>
        <v>58.4</v>
      </c>
      <c r="B21" s="216">
        <f>VINMAX*((ROW()-10)/104)</f>
        <v>6.176923077</v>
      </c>
      <c r="C21" s="196">
        <f t="shared" si="1"/>
        <v>0</v>
      </c>
      <c r="D21" s="205">
        <f t="shared" si="2"/>
        <v>314.4654088</v>
      </c>
      <c r="E21" s="44">
        <f t="shared" si="3"/>
        <v>6.021579488</v>
      </c>
      <c r="F21" s="196">
        <f>I_Cout_ss+C21</f>
        <v>1.568205128</v>
      </c>
      <c r="G21" s="196">
        <f t="shared" si="4"/>
        <v>1.568205128</v>
      </c>
      <c r="H21" s="196">
        <f t="shared" si="5"/>
        <v>1.568205128</v>
      </c>
      <c r="I21" s="201">
        <f>(COUTMAX/1000000)*(B21-B20)/H21</f>
        <v>0.0009954545455</v>
      </c>
      <c r="J21" s="201">
        <f t="shared" si="10"/>
        <v>0.01095</v>
      </c>
      <c r="K21" s="195">
        <f t="shared" si="6"/>
        <v>10.95</v>
      </c>
      <c r="L21" s="202">
        <f t="shared" si="7"/>
        <v>1</v>
      </c>
      <c r="M21" s="30">
        <f>1/COUTMAX*(E21/2-C21)*1000</f>
        <v>1.083017894</v>
      </c>
      <c r="N21" s="213">
        <f t="shared" si="8"/>
        <v>0.08152424024</v>
      </c>
      <c r="O21" s="30">
        <f t="shared" si="9"/>
        <v>81.89649704</v>
      </c>
      <c r="P21" s="30">
        <f>(A21-B21)*(I_Cout_ss*$Q$2+C21)</f>
        <v>130.2898817</v>
      </c>
      <c r="Q21" s="30">
        <f>(A21-B21)*(I_Cout_ss*$R$2+C21)</f>
        <v>55.83852071</v>
      </c>
      <c r="R21" s="30"/>
      <c r="S21" s="30"/>
      <c r="T21" s="30"/>
      <c r="U21" s="30"/>
      <c r="V21" s="30"/>
      <c r="W21" s="30"/>
      <c r="X21" s="219" t="s">
        <v>330</v>
      </c>
      <c r="Y21" s="219">
        <v>0.2</v>
      </c>
      <c r="Z21" s="30"/>
      <c r="AA21" s="30"/>
      <c r="AB21" s="30"/>
      <c r="AC21" s="30"/>
    </row>
    <row r="22" ht="12.75" customHeight="1">
      <c r="A22" s="30">
        <f>VINMAX</f>
        <v>58.4</v>
      </c>
      <c r="B22" s="216">
        <f>VINMAX*((ROW()-10)/104)</f>
        <v>6.738461538</v>
      </c>
      <c r="C22" s="196">
        <f t="shared" si="1"/>
        <v>0</v>
      </c>
      <c r="D22" s="205">
        <f t="shared" si="2"/>
        <v>314.4654088</v>
      </c>
      <c r="E22" s="44">
        <f t="shared" si="3"/>
        <v>6.087031439</v>
      </c>
      <c r="F22" s="196">
        <f>I_Cout_ss+C22</f>
        <v>1.568205128</v>
      </c>
      <c r="G22" s="196">
        <f t="shared" si="4"/>
        <v>1.568205128</v>
      </c>
      <c r="H22" s="196">
        <f t="shared" si="5"/>
        <v>1.568205128</v>
      </c>
      <c r="I22" s="201">
        <f>(COUTMAX/1000000)*(B22-B21)/H22</f>
        <v>0.0009954545455</v>
      </c>
      <c r="J22" s="201">
        <f t="shared" si="10"/>
        <v>0.01194545455</v>
      </c>
      <c r="K22" s="195">
        <f t="shared" si="6"/>
        <v>11.94545455</v>
      </c>
      <c r="L22" s="202">
        <f t="shared" si="7"/>
        <v>1</v>
      </c>
      <c r="M22" s="30">
        <f>1/COUTMAX*(E22/2-C22)*1000</f>
        <v>1.094789827</v>
      </c>
      <c r="N22" s="213">
        <f t="shared" si="8"/>
        <v>0.0806476355</v>
      </c>
      <c r="O22" s="30">
        <f t="shared" si="9"/>
        <v>81.01588955</v>
      </c>
      <c r="P22" s="30">
        <f>(A22-B22)*(I_Cout_ss*$Q$2+C22)</f>
        <v>128.8889152</v>
      </c>
      <c r="Q22" s="30">
        <f>(A22-B22)*(I_Cout_ss*$R$2+C22)</f>
        <v>55.23810651</v>
      </c>
      <c r="R22" s="30"/>
      <c r="S22" s="30"/>
      <c r="T22" s="30"/>
      <c r="U22" s="30"/>
      <c r="V22" s="30"/>
      <c r="W22" s="30"/>
      <c r="X22" s="219" t="s">
        <v>327</v>
      </c>
      <c r="Y22" s="219">
        <f>SQRT(Y21^2+Y20^2)</f>
        <v>0.2828427125</v>
      </c>
      <c r="Z22" s="30"/>
      <c r="AA22" s="30"/>
      <c r="AB22" s="30"/>
      <c r="AC22" s="30"/>
    </row>
    <row r="23" ht="12.75" customHeight="1">
      <c r="A23" s="30">
        <f>VINMAX</f>
        <v>58.4</v>
      </c>
      <c r="B23" s="216">
        <f>VINMAX*((ROW()-10)/104)</f>
        <v>7.3</v>
      </c>
      <c r="C23" s="196">
        <f t="shared" si="1"/>
        <v>0</v>
      </c>
      <c r="D23" s="205">
        <f t="shared" si="2"/>
        <v>314.4654088</v>
      </c>
      <c r="E23" s="44">
        <f t="shared" si="3"/>
        <v>6.153921894</v>
      </c>
      <c r="F23" s="196">
        <f>I_Cout_ss+C23</f>
        <v>1.568205128</v>
      </c>
      <c r="G23" s="196">
        <f t="shared" si="4"/>
        <v>1.568205128</v>
      </c>
      <c r="H23" s="196">
        <f t="shared" si="5"/>
        <v>1.568205128</v>
      </c>
      <c r="I23" s="201">
        <f>(COUTMAX/1000000)*(B23-B22)/H23</f>
        <v>0.0009954545455</v>
      </c>
      <c r="J23" s="201">
        <f t="shared" si="10"/>
        <v>0.01294090909</v>
      </c>
      <c r="K23" s="195">
        <f t="shared" si="6"/>
        <v>12.94090909</v>
      </c>
      <c r="L23" s="202">
        <f t="shared" si="7"/>
        <v>1</v>
      </c>
      <c r="M23" s="30">
        <f>1/COUTMAX*(E23/2-C23)*1000</f>
        <v>1.106820485</v>
      </c>
      <c r="N23" s="213">
        <f t="shared" si="8"/>
        <v>0.07977103077</v>
      </c>
      <c r="O23" s="30">
        <f t="shared" si="9"/>
        <v>80.13528205</v>
      </c>
      <c r="P23" s="30">
        <f>(A23-B23)*(I_Cout_ss*$Q$2+C23)</f>
        <v>127.4879487</v>
      </c>
      <c r="Q23" s="30">
        <f>(A23-B23)*(I_Cout_ss*$R$2+C23)</f>
        <v>54.63769231</v>
      </c>
      <c r="R23" s="30"/>
      <c r="S23" s="30"/>
      <c r="T23" s="30"/>
      <c r="U23" s="30"/>
      <c r="V23" s="30"/>
      <c r="W23" s="30"/>
      <c r="X23" s="219"/>
      <c r="Y23" s="219"/>
      <c r="Z23" s="30"/>
      <c r="AA23" s="30"/>
      <c r="AB23" s="30"/>
      <c r="AC23" s="30"/>
    </row>
    <row r="24" ht="12.75" customHeight="1">
      <c r="A24" s="30">
        <f>VINMAX</f>
        <v>58.4</v>
      </c>
      <c r="B24" s="216">
        <f>VINMAX*((ROW()-10)/104)</f>
        <v>7.861538462</v>
      </c>
      <c r="C24" s="196">
        <f t="shared" si="1"/>
        <v>0</v>
      </c>
      <c r="D24" s="205">
        <f t="shared" si="2"/>
        <v>314.4654088</v>
      </c>
      <c r="E24" s="44">
        <f t="shared" si="3"/>
        <v>6.222298804</v>
      </c>
      <c r="F24" s="196">
        <f>I_Cout_ss+C24</f>
        <v>1.568205128</v>
      </c>
      <c r="G24" s="196">
        <f t="shared" si="4"/>
        <v>1.568205128</v>
      </c>
      <c r="H24" s="196">
        <f t="shared" si="5"/>
        <v>1.568205128</v>
      </c>
      <c r="I24" s="201">
        <f>(COUTMAX/1000000)*(B24-B23)/H24</f>
        <v>0.0009954545455</v>
      </c>
      <c r="J24" s="201">
        <f t="shared" si="10"/>
        <v>0.01393636364</v>
      </c>
      <c r="K24" s="195">
        <f t="shared" si="6"/>
        <v>13.93636364</v>
      </c>
      <c r="L24" s="202">
        <f t="shared" si="7"/>
        <v>1</v>
      </c>
      <c r="M24" s="30">
        <f>1/COUTMAX*(E24/2-C24)*1000</f>
        <v>1.11911849</v>
      </c>
      <c r="N24" s="213">
        <f t="shared" si="8"/>
        <v>0.07889442604</v>
      </c>
      <c r="O24" s="30">
        <f t="shared" si="9"/>
        <v>79.25467456</v>
      </c>
      <c r="P24" s="30">
        <f>(A24-B24)*(I_Cout_ss*$Q$2+C24)</f>
        <v>126.0869822</v>
      </c>
      <c r="Q24" s="30">
        <f>(A24-B24)*(I_Cout_ss*$R$2+C24)</f>
        <v>54.03727811</v>
      </c>
      <c r="R24" s="30"/>
      <c r="S24" s="30"/>
      <c r="T24" s="30"/>
      <c r="U24" s="30"/>
      <c r="V24" s="30"/>
      <c r="W24" s="30"/>
      <c r="X24" s="219" t="s">
        <v>331</v>
      </c>
      <c r="Y24" s="219">
        <f>SQRT(Y18^2+Y22^2)</f>
        <v>0.5099019514</v>
      </c>
      <c r="Z24" s="30"/>
      <c r="AA24" s="30"/>
      <c r="AB24" s="30"/>
      <c r="AC24" s="30"/>
    </row>
    <row r="25" ht="12.75" customHeight="1">
      <c r="A25" s="30">
        <f>VINMAX</f>
        <v>58.4</v>
      </c>
      <c r="B25" s="216">
        <f>VINMAX*((ROW()-10)/104)</f>
        <v>8.423076923</v>
      </c>
      <c r="C25" s="196">
        <f t="shared" si="1"/>
        <v>0</v>
      </c>
      <c r="D25" s="205">
        <f t="shared" si="2"/>
        <v>314.4654088</v>
      </c>
      <c r="E25" s="44">
        <f t="shared" si="3"/>
        <v>6.292212274</v>
      </c>
      <c r="F25" s="196">
        <f>I_Cout_ss+C25</f>
        <v>1.568205128</v>
      </c>
      <c r="G25" s="196">
        <f t="shared" si="4"/>
        <v>1.568205128</v>
      </c>
      <c r="H25" s="196">
        <f t="shared" si="5"/>
        <v>1.568205128</v>
      </c>
      <c r="I25" s="201">
        <f>(COUTMAX/1000000)*(B25-B24)/H25</f>
        <v>0.0009954545455</v>
      </c>
      <c r="J25" s="201">
        <f t="shared" si="10"/>
        <v>0.01493181818</v>
      </c>
      <c r="K25" s="195">
        <f t="shared" si="6"/>
        <v>14.93181818</v>
      </c>
      <c r="L25" s="202">
        <f t="shared" si="7"/>
        <v>1</v>
      </c>
      <c r="M25" s="30">
        <f>1/COUTMAX*(E25/2-C25)*1000</f>
        <v>1.131692855</v>
      </c>
      <c r="N25" s="213">
        <f t="shared" si="8"/>
        <v>0.0780178213</v>
      </c>
      <c r="O25" s="30">
        <f t="shared" si="9"/>
        <v>78.37406706</v>
      </c>
      <c r="P25" s="30">
        <f>(A25-B25)*(I_Cout_ss*$Q$2+C25)</f>
        <v>124.6860158</v>
      </c>
      <c r="Q25" s="30">
        <f>(A25-B25)*(I_Cout_ss*$R$2+C25)</f>
        <v>53.43686391</v>
      </c>
      <c r="R25" s="30"/>
      <c r="S25" s="30"/>
      <c r="T25" s="30"/>
      <c r="U25" s="30"/>
      <c r="V25" s="30"/>
      <c r="W25" s="30"/>
      <c r="X25" s="30"/>
      <c r="Y25" s="30"/>
      <c r="Z25" s="30"/>
      <c r="AA25" s="30"/>
      <c r="AB25" s="30"/>
      <c r="AC25" s="30"/>
    </row>
    <row r="26" ht="12.75" customHeight="1">
      <c r="A26" s="30">
        <f>VINMAX</f>
        <v>58.4</v>
      </c>
      <c r="B26" s="216">
        <f>VINMAX*((ROW()-10)/104)</f>
        <v>8.984615385</v>
      </c>
      <c r="C26" s="196">
        <f t="shared" si="1"/>
        <v>0</v>
      </c>
      <c r="D26" s="205">
        <f t="shared" si="2"/>
        <v>314.4654088</v>
      </c>
      <c r="E26" s="44">
        <f t="shared" si="3"/>
        <v>6.363714686</v>
      </c>
      <c r="F26" s="196">
        <f>I_Cout_ss+C26</f>
        <v>1.568205128</v>
      </c>
      <c r="G26" s="196">
        <f t="shared" si="4"/>
        <v>1.568205128</v>
      </c>
      <c r="H26" s="196">
        <f t="shared" si="5"/>
        <v>1.568205128</v>
      </c>
      <c r="I26" s="201">
        <f>(COUTMAX/1000000)*(B26-B25)/H26</f>
        <v>0.0009954545455</v>
      </c>
      <c r="J26" s="201">
        <f t="shared" si="10"/>
        <v>0.01592727273</v>
      </c>
      <c r="K26" s="195">
        <f t="shared" si="6"/>
        <v>15.92727273</v>
      </c>
      <c r="L26" s="202">
        <f t="shared" si="7"/>
        <v>1</v>
      </c>
      <c r="M26" s="30">
        <f>1/COUTMAX*(E26/2-C26)*1000</f>
        <v>1.144553001</v>
      </c>
      <c r="N26" s="213">
        <f t="shared" si="8"/>
        <v>0.07714121657</v>
      </c>
      <c r="O26" s="30">
        <f t="shared" si="9"/>
        <v>77.49345957</v>
      </c>
      <c r="P26" s="30">
        <f>(A26-B26)*(I_Cout_ss*$Q$2+C26)</f>
        <v>123.2850493</v>
      </c>
      <c r="Q26" s="30">
        <f>(A26-B26)*(I_Cout_ss*$R$2+C26)</f>
        <v>52.8364497</v>
      </c>
      <c r="R26" s="30"/>
      <c r="S26" s="30"/>
      <c r="T26" s="30"/>
      <c r="U26" s="30"/>
      <c r="V26" s="30"/>
      <c r="W26" s="30"/>
      <c r="X26" s="30"/>
      <c r="Y26" s="30"/>
      <c r="Z26" s="30"/>
      <c r="AA26" s="30"/>
      <c r="AB26" s="30"/>
      <c r="AC26" s="30"/>
    </row>
    <row r="27" ht="12.75" customHeight="1">
      <c r="A27" s="30">
        <f>VINMAX</f>
        <v>58.4</v>
      </c>
      <c r="B27" s="216">
        <f>VINMAX*((ROW()-10)/104)</f>
        <v>9.546153846</v>
      </c>
      <c r="C27" s="196">
        <f t="shared" si="1"/>
        <v>0</v>
      </c>
      <c r="D27" s="205">
        <f t="shared" si="2"/>
        <v>314.4654088</v>
      </c>
      <c r="E27" s="44">
        <f t="shared" si="3"/>
        <v>6.436860832</v>
      </c>
      <c r="F27" s="196">
        <f>I_Cout_ss+C27</f>
        <v>1.568205128</v>
      </c>
      <c r="G27" s="196">
        <f t="shared" si="4"/>
        <v>1.568205128</v>
      </c>
      <c r="H27" s="196">
        <f t="shared" si="5"/>
        <v>1.568205128</v>
      </c>
      <c r="I27" s="201">
        <f>(COUTMAX/1000000)*(B27-B26)/H27</f>
        <v>0.0009954545455</v>
      </c>
      <c r="J27" s="201">
        <f t="shared" si="10"/>
        <v>0.01692272727</v>
      </c>
      <c r="K27" s="195">
        <f t="shared" si="6"/>
        <v>16.92272727</v>
      </c>
      <c r="L27" s="202">
        <f t="shared" si="7"/>
        <v>1</v>
      </c>
      <c r="M27" s="30">
        <f>1/COUTMAX*(E27/2-C27)*1000</f>
        <v>1.157708783</v>
      </c>
      <c r="N27" s="213">
        <f t="shared" si="8"/>
        <v>0.07626461183</v>
      </c>
      <c r="O27" s="30">
        <f t="shared" si="9"/>
        <v>76.61285207</v>
      </c>
      <c r="P27" s="30">
        <f>(A27-B27)*(I_Cout_ss*$Q$2+C27)</f>
        <v>121.8840828</v>
      </c>
      <c r="Q27" s="30">
        <f>(A27-B27)*(I_Cout_ss*$R$2+C27)</f>
        <v>52.2360355</v>
      </c>
      <c r="R27" s="30"/>
      <c r="S27" s="30"/>
      <c r="T27" s="30"/>
      <c r="U27" s="30"/>
      <c r="V27" s="30"/>
      <c r="W27" s="30"/>
      <c r="X27" s="30"/>
      <c r="Y27" s="30"/>
      <c r="Z27" s="30"/>
      <c r="AA27" s="30"/>
      <c r="AB27" s="30"/>
      <c r="AC27" s="30"/>
    </row>
    <row r="28" ht="12.75" customHeight="1">
      <c r="A28" s="30">
        <f>VINMAX</f>
        <v>58.4</v>
      </c>
      <c r="B28" s="216">
        <f>VINMAX*((ROW()-10)/104)</f>
        <v>10.10769231</v>
      </c>
      <c r="C28" s="196">
        <f t="shared" si="1"/>
        <v>0</v>
      </c>
      <c r="D28" s="205">
        <f t="shared" si="2"/>
        <v>314.4654088</v>
      </c>
      <c r="E28" s="44">
        <f t="shared" si="3"/>
        <v>6.511708051</v>
      </c>
      <c r="F28" s="196">
        <f>I_Cout_ss+C28</f>
        <v>1.568205128</v>
      </c>
      <c r="G28" s="196">
        <f t="shared" si="4"/>
        <v>1.568205128</v>
      </c>
      <c r="H28" s="196">
        <f t="shared" si="5"/>
        <v>1.568205128</v>
      </c>
      <c r="I28" s="201">
        <f>(COUTMAX/1000000)*(B28-B27)/H28</f>
        <v>0.0009954545455</v>
      </c>
      <c r="J28" s="201">
        <f t="shared" si="10"/>
        <v>0.01791818182</v>
      </c>
      <c r="K28" s="195">
        <f t="shared" si="6"/>
        <v>17.91818182</v>
      </c>
      <c r="L28" s="202">
        <f t="shared" si="7"/>
        <v>1</v>
      </c>
      <c r="M28" s="30">
        <f>1/COUTMAX*(E28/2-C28)*1000</f>
        <v>1.171170513</v>
      </c>
      <c r="N28" s="213">
        <f t="shared" si="8"/>
        <v>0.0753880071</v>
      </c>
      <c r="O28" s="30">
        <f t="shared" si="9"/>
        <v>75.73224458</v>
      </c>
      <c r="P28" s="30">
        <f>(A28-B28)*(I_Cout_ss*$Q$2+C28)</f>
        <v>120.4831164</v>
      </c>
      <c r="Q28" s="30">
        <f>(A28-B28)*(I_Cout_ss*$R$2+C28)</f>
        <v>51.6356213</v>
      </c>
      <c r="R28" s="30"/>
      <c r="S28" s="30"/>
      <c r="T28" s="30"/>
      <c r="U28" s="30"/>
      <c r="V28" s="30"/>
      <c r="W28" s="30"/>
      <c r="X28" s="30"/>
      <c r="Y28" s="30"/>
      <c r="Z28" s="30"/>
      <c r="AA28" s="30"/>
      <c r="AB28" s="30"/>
      <c r="AC28" s="30"/>
    </row>
    <row r="29" ht="12.75" customHeight="1">
      <c r="A29" s="30">
        <f>VINMAX</f>
        <v>58.4</v>
      </c>
      <c r="B29" s="216">
        <f>VINMAX*((ROW()-10)/104)</f>
        <v>10.66923077</v>
      </c>
      <c r="C29" s="196">
        <f t="shared" si="1"/>
        <v>0</v>
      </c>
      <c r="D29" s="205">
        <f t="shared" si="2"/>
        <v>314.4654088</v>
      </c>
      <c r="E29" s="44">
        <f t="shared" si="3"/>
        <v>6.588316381</v>
      </c>
      <c r="F29" s="196">
        <f>I_Cout_ss+C29</f>
        <v>1.568205128</v>
      </c>
      <c r="G29" s="196">
        <f t="shared" si="4"/>
        <v>1.568205128</v>
      </c>
      <c r="H29" s="196">
        <f t="shared" si="5"/>
        <v>1.568205128</v>
      </c>
      <c r="I29" s="201">
        <f>(COUTMAX/1000000)*(B29-B28)/H29</f>
        <v>0.0009954545455</v>
      </c>
      <c r="J29" s="201">
        <f t="shared" si="10"/>
        <v>0.01891363636</v>
      </c>
      <c r="K29" s="195">
        <f t="shared" si="6"/>
        <v>18.91363636</v>
      </c>
      <c r="L29" s="202">
        <f t="shared" si="7"/>
        <v>1</v>
      </c>
      <c r="M29" s="30">
        <f>1/COUTMAX*(E29/2-C29)*1000</f>
        <v>1.184948989</v>
      </c>
      <c r="N29" s="213">
        <f t="shared" si="8"/>
        <v>0.07451140237</v>
      </c>
      <c r="O29" s="30">
        <f t="shared" si="9"/>
        <v>74.85163708</v>
      </c>
      <c r="P29" s="30">
        <f>(A29-B29)*(I_Cout_ss*$Q$2+C29)</f>
        <v>119.0821499</v>
      </c>
      <c r="Q29" s="30">
        <f>(A29-B29)*(I_Cout_ss*$R$2+C29)</f>
        <v>51.0352071</v>
      </c>
      <c r="R29" s="30"/>
      <c r="S29" s="30"/>
      <c r="T29" s="30"/>
      <c r="U29" s="30"/>
      <c r="V29" s="30"/>
      <c r="W29" s="30"/>
      <c r="X29" s="30"/>
      <c r="Y29" s="30"/>
      <c r="Z29" s="30"/>
      <c r="AA29" s="30"/>
      <c r="AB29" s="30"/>
      <c r="AC29" s="30"/>
    </row>
    <row r="30" ht="12.75" customHeight="1">
      <c r="A30" s="30">
        <f>VINMAX</f>
        <v>58.4</v>
      </c>
      <c r="B30" s="216">
        <f>VINMAX*((ROW()-10)/104)</f>
        <v>11.23076923</v>
      </c>
      <c r="C30" s="196">
        <f t="shared" si="1"/>
        <v>0</v>
      </c>
      <c r="D30" s="205">
        <f t="shared" si="2"/>
        <v>314.4654088</v>
      </c>
      <c r="E30" s="44">
        <f t="shared" si="3"/>
        <v>6.666748719</v>
      </c>
      <c r="F30" s="196">
        <f>I_Cout_ss+C30</f>
        <v>1.568205128</v>
      </c>
      <c r="G30" s="196">
        <f t="shared" si="4"/>
        <v>1.568205128</v>
      </c>
      <c r="H30" s="196">
        <f t="shared" si="5"/>
        <v>1.568205128</v>
      </c>
      <c r="I30" s="201">
        <f>(COUTMAX/1000000)*(B30-B29)/H30</f>
        <v>0.0009954545455</v>
      </c>
      <c r="J30" s="201">
        <f t="shared" si="10"/>
        <v>0.01990909091</v>
      </c>
      <c r="K30" s="195">
        <f t="shared" si="6"/>
        <v>19.90909091</v>
      </c>
      <c r="L30" s="202">
        <f t="shared" si="7"/>
        <v>1</v>
      </c>
      <c r="M30" s="30">
        <f>1/COUTMAX*(E30/2-C30)*1000</f>
        <v>1.199055525</v>
      </c>
      <c r="N30" s="213">
        <f t="shared" si="8"/>
        <v>0.07363479763</v>
      </c>
      <c r="O30" s="30">
        <f t="shared" si="9"/>
        <v>73.97102959</v>
      </c>
      <c r="P30" s="30">
        <f>(A30-B30)*(I_Cout_ss*$Q$2+C30)</f>
        <v>117.6811834</v>
      </c>
      <c r="Q30" s="30">
        <f>(A30-B30)*(I_Cout_ss*$R$2+C30)</f>
        <v>50.4347929</v>
      </c>
      <c r="R30" s="30"/>
      <c r="S30" s="30"/>
      <c r="T30" s="30"/>
      <c r="U30" s="30"/>
      <c r="V30" s="30"/>
      <c r="W30" s="30"/>
      <c r="X30" s="30"/>
      <c r="Y30" s="30"/>
      <c r="Z30" s="30"/>
      <c r="AA30" s="30"/>
      <c r="AB30" s="30"/>
      <c r="AC30" s="30"/>
    </row>
    <row r="31" ht="12.75" customHeight="1">
      <c r="A31" s="30">
        <f>VINMAX</f>
        <v>58.4</v>
      </c>
      <c r="B31" s="216">
        <f>VINMAX*((ROW()-10)/104)</f>
        <v>11.79230769</v>
      </c>
      <c r="C31" s="196">
        <f t="shared" si="1"/>
        <v>0</v>
      </c>
      <c r="D31" s="205">
        <f t="shared" si="2"/>
        <v>314.4654088</v>
      </c>
      <c r="E31" s="44">
        <f t="shared" si="3"/>
        <v>6.747070993</v>
      </c>
      <c r="F31" s="196">
        <f>I_Cout_ss+C31</f>
        <v>1.568205128</v>
      </c>
      <c r="G31" s="196">
        <f t="shared" si="4"/>
        <v>1.568205128</v>
      </c>
      <c r="H31" s="196">
        <f t="shared" si="5"/>
        <v>1.568205128</v>
      </c>
      <c r="I31" s="201">
        <f>(COUTMAX/1000000)*(B31-B30)/H31</f>
        <v>0.0009954545455</v>
      </c>
      <c r="J31" s="201">
        <f t="shared" si="10"/>
        <v>0.02090454545</v>
      </c>
      <c r="K31" s="195">
        <f t="shared" si="6"/>
        <v>20.90454545</v>
      </c>
      <c r="L31" s="202">
        <f t="shared" si="7"/>
        <v>1</v>
      </c>
      <c r="M31" s="30">
        <f>1/COUTMAX*(E31/2-C31)*1000</f>
        <v>1.213501977</v>
      </c>
      <c r="N31" s="213">
        <f t="shared" si="8"/>
        <v>0.0727581929</v>
      </c>
      <c r="O31" s="30">
        <f t="shared" si="9"/>
        <v>73.09042209</v>
      </c>
      <c r="P31" s="30">
        <f>(A31-B31)*(I_Cout_ss*$Q$2+C31)</f>
        <v>116.280217</v>
      </c>
      <c r="Q31" s="30">
        <f>(A31-B31)*(I_Cout_ss*$R$2+C31)</f>
        <v>49.8343787</v>
      </c>
      <c r="R31" s="30"/>
      <c r="S31" s="30"/>
      <c r="T31" s="30"/>
      <c r="U31" s="30"/>
      <c r="V31" s="30"/>
      <c r="W31" s="30"/>
      <c r="X31" s="30"/>
      <c r="Y31" s="30"/>
      <c r="Z31" s="30"/>
      <c r="AA31" s="30"/>
      <c r="AB31" s="30"/>
      <c r="AC31" s="30"/>
    </row>
    <row r="32" ht="12.75" customHeight="1">
      <c r="A32" s="30">
        <f>VINMAX</f>
        <v>58.4</v>
      </c>
      <c r="B32" s="216">
        <f>VINMAX*((ROW()-10)/104)</f>
        <v>12.35384615</v>
      </c>
      <c r="C32" s="196">
        <f t="shared" si="1"/>
        <v>0</v>
      </c>
      <c r="D32" s="205">
        <f t="shared" si="2"/>
        <v>314.4654088</v>
      </c>
      <c r="E32" s="44">
        <f t="shared" si="3"/>
        <v>6.829352346</v>
      </c>
      <c r="F32" s="196">
        <f>I_Cout_ss+C32</f>
        <v>1.568205128</v>
      </c>
      <c r="G32" s="196">
        <f t="shared" si="4"/>
        <v>1.568205128</v>
      </c>
      <c r="H32" s="196">
        <f t="shared" si="5"/>
        <v>1.568205128</v>
      </c>
      <c r="I32" s="201">
        <f>(COUTMAX/1000000)*(B32-B31)/H32</f>
        <v>0.0009954545455</v>
      </c>
      <c r="J32" s="201">
        <f t="shared" si="10"/>
        <v>0.0219</v>
      </c>
      <c r="K32" s="195">
        <f t="shared" si="6"/>
        <v>21.9</v>
      </c>
      <c r="L32" s="202">
        <f t="shared" si="7"/>
        <v>1</v>
      </c>
      <c r="M32" s="30">
        <f>1/COUTMAX*(E32/2-C32)*1000</f>
        <v>1.228300782</v>
      </c>
      <c r="N32" s="213">
        <f t="shared" si="8"/>
        <v>0.07188158817</v>
      </c>
      <c r="O32" s="30">
        <f t="shared" si="9"/>
        <v>72.2098146</v>
      </c>
      <c r="P32" s="30">
        <f>(A32-B32)*(I_Cout_ss*$Q$2+C32)</f>
        <v>114.8792505</v>
      </c>
      <c r="Q32" s="30">
        <f>(A32-B32)*(I_Cout_ss*$R$2+C32)</f>
        <v>49.2339645</v>
      </c>
      <c r="R32" s="30"/>
      <c r="S32" s="30"/>
      <c r="T32" s="30"/>
      <c r="U32" s="30"/>
      <c r="V32" s="30"/>
      <c r="W32" s="30"/>
      <c r="X32" s="30"/>
      <c r="Y32" s="30"/>
      <c r="Z32" s="30"/>
      <c r="AA32" s="30"/>
      <c r="AB32" s="30"/>
      <c r="AC32" s="30"/>
    </row>
    <row r="33" ht="12.75" customHeight="1">
      <c r="A33" s="30">
        <f>VINMAX</f>
        <v>58.4</v>
      </c>
      <c r="B33" s="216">
        <f>VINMAX*((ROW()-10)/104)</f>
        <v>12.91538462</v>
      </c>
      <c r="C33" s="196">
        <f t="shared" si="1"/>
        <v>0</v>
      </c>
      <c r="D33" s="205">
        <f t="shared" si="2"/>
        <v>314.4654088</v>
      </c>
      <c r="E33" s="44">
        <f t="shared" si="3"/>
        <v>6.913665338</v>
      </c>
      <c r="F33" s="196">
        <f>I_Cout_ss+C33</f>
        <v>1.568205128</v>
      </c>
      <c r="G33" s="196">
        <f t="shared" si="4"/>
        <v>1.568205128</v>
      </c>
      <c r="H33" s="196">
        <f t="shared" si="5"/>
        <v>1.568205128</v>
      </c>
      <c r="I33" s="201">
        <f>(COUTMAX/1000000)*(B33-B32)/H33</f>
        <v>0.0009954545455</v>
      </c>
      <c r="J33" s="201">
        <f t="shared" si="10"/>
        <v>0.02289545455</v>
      </c>
      <c r="K33" s="195">
        <f t="shared" si="6"/>
        <v>22.89545455</v>
      </c>
      <c r="L33" s="202">
        <f t="shared" si="7"/>
        <v>1</v>
      </c>
      <c r="M33" s="30">
        <f>1/COUTMAX*(E33/2-C33)*1000</f>
        <v>1.243464989</v>
      </c>
      <c r="N33" s="213">
        <f t="shared" si="8"/>
        <v>0.07100498343</v>
      </c>
      <c r="O33" s="30">
        <f t="shared" si="9"/>
        <v>71.3292071</v>
      </c>
      <c r="P33" s="30">
        <f>(A33-B33)*(I_Cout_ss*$Q$2+C33)</f>
        <v>113.478284</v>
      </c>
      <c r="Q33" s="30">
        <f>(A33-B33)*(I_Cout_ss*$R$2+C33)</f>
        <v>48.6335503</v>
      </c>
      <c r="R33" s="30"/>
      <c r="S33" s="30"/>
      <c r="T33" s="30"/>
      <c r="U33" s="30"/>
      <c r="V33" s="30"/>
      <c r="W33" s="30"/>
      <c r="X33" s="30"/>
      <c r="Y33" s="30"/>
      <c r="Z33" s="30"/>
      <c r="AA33" s="30"/>
      <c r="AB33" s="30"/>
      <c r="AC33" s="30"/>
    </row>
    <row r="34" ht="12.75" customHeight="1">
      <c r="A34" s="30">
        <f>VINMAX</f>
        <v>58.4</v>
      </c>
      <c r="B34" s="216">
        <f>VINMAX*((ROW()-10)/104)</f>
        <v>13.47692308</v>
      </c>
      <c r="C34" s="196">
        <f t="shared" si="1"/>
        <v>0</v>
      </c>
      <c r="D34" s="205">
        <f t="shared" si="2"/>
        <v>314.4654088</v>
      </c>
      <c r="E34" s="44">
        <f t="shared" si="3"/>
        <v>7.000086155</v>
      </c>
      <c r="F34" s="196">
        <f>I_Cout_ss+C34</f>
        <v>1.568205128</v>
      </c>
      <c r="G34" s="196">
        <f t="shared" si="4"/>
        <v>1.568205128</v>
      </c>
      <c r="H34" s="196">
        <f t="shared" si="5"/>
        <v>1.568205128</v>
      </c>
      <c r="I34" s="201">
        <f>(COUTMAX/1000000)*(B34-B33)/H34</f>
        <v>0.0009954545455</v>
      </c>
      <c r="J34" s="201">
        <f t="shared" si="10"/>
        <v>0.02389090909</v>
      </c>
      <c r="K34" s="195">
        <f t="shared" si="6"/>
        <v>23.89090909</v>
      </c>
      <c r="L34" s="202">
        <f t="shared" si="7"/>
        <v>1</v>
      </c>
      <c r="M34" s="30">
        <f>1/COUTMAX*(E34/2-C34)*1000</f>
        <v>1.259008301</v>
      </c>
      <c r="N34" s="213">
        <f t="shared" si="8"/>
        <v>0.0701283787</v>
      </c>
      <c r="O34" s="30">
        <f t="shared" si="9"/>
        <v>70.44859961</v>
      </c>
      <c r="P34" s="30">
        <f>(A34-B34)*(I_Cout_ss*$Q$2+C34)</f>
        <v>112.0773176</v>
      </c>
      <c r="Q34" s="30">
        <f>(A34-B34)*(I_Cout_ss*$R$2+C34)</f>
        <v>48.03313609</v>
      </c>
      <c r="R34" s="30"/>
      <c r="S34" s="30"/>
      <c r="T34" s="30"/>
      <c r="U34" s="30"/>
      <c r="V34" s="30"/>
      <c r="W34" s="30"/>
      <c r="X34" s="30"/>
      <c r="Y34" s="30"/>
      <c r="Z34" s="30"/>
      <c r="AA34" s="30"/>
      <c r="AB34" s="30"/>
      <c r="AC34" s="30"/>
    </row>
    <row r="35" ht="12.75" customHeight="1">
      <c r="A35" s="30">
        <f>VINMAX</f>
        <v>58.4</v>
      </c>
      <c r="B35" s="216">
        <f>VINMAX*((ROW()-10)/104)</f>
        <v>14.03846154</v>
      </c>
      <c r="C35" s="196">
        <f t="shared" si="1"/>
        <v>0</v>
      </c>
      <c r="D35" s="205">
        <f t="shared" si="2"/>
        <v>314.4654088</v>
      </c>
      <c r="E35" s="44">
        <f t="shared" si="3"/>
        <v>7.08869484</v>
      </c>
      <c r="F35" s="196">
        <f>I_Cout_ss+C35</f>
        <v>1.568205128</v>
      </c>
      <c r="G35" s="196">
        <f t="shared" si="4"/>
        <v>1.568205128</v>
      </c>
      <c r="H35" s="196">
        <f t="shared" si="5"/>
        <v>1.568205128</v>
      </c>
      <c r="I35" s="201">
        <f>(COUTMAX/1000000)*(B35-B34)/H35</f>
        <v>0.0009954545455</v>
      </c>
      <c r="J35" s="201">
        <f t="shared" si="10"/>
        <v>0.02488636364</v>
      </c>
      <c r="K35" s="195">
        <f t="shared" si="6"/>
        <v>24.88636364</v>
      </c>
      <c r="L35" s="202">
        <f t="shared" si="7"/>
        <v>1</v>
      </c>
      <c r="M35" s="30">
        <f>1/COUTMAX*(E35/2-C35)*1000</f>
        <v>1.274945115</v>
      </c>
      <c r="N35" s="213">
        <f t="shared" si="8"/>
        <v>0.06925177396</v>
      </c>
      <c r="O35" s="30">
        <f t="shared" si="9"/>
        <v>69.56799211</v>
      </c>
      <c r="P35" s="30">
        <f>(A35-B35)*(I_Cout_ss*$Q$2+C35)</f>
        <v>110.6763511</v>
      </c>
      <c r="Q35" s="30">
        <f>(A35-B35)*(I_Cout_ss*$R$2+C35)</f>
        <v>47.43272189</v>
      </c>
      <c r="R35" s="30"/>
      <c r="S35" s="30"/>
      <c r="T35" s="30"/>
      <c r="U35" s="30"/>
      <c r="V35" s="30"/>
      <c r="W35" s="30"/>
      <c r="X35" s="30"/>
      <c r="Y35" s="30"/>
      <c r="Z35" s="30"/>
      <c r="AA35" s="30"/>
      <c r="AB35" s="30"/>
      <c r="AC35" s="30"/>
    </row>
    <row r="36" ht="12.75" customHeight="1">
      <c r="A36" s="30">
        <f>VINMAX</f>
        <v>58.4</v>
      </c>
      <c r="B36" s="216">
        <f>VINMAX*((ROW()-10)/104)</f>
        <v>14.6</v>
      </c>
      <c r="C36" s="196">
        <f t="shared" si="1"/>
        <v>0</v>
      </c>
      <c r="D36" s="205">
        <f t="shared" si="2"/>
        <v>314.4654088</v>
      </c>
      <c r="E36" s="44">
        <f t="shared" si="3"/>
        <v>7.179575543</v>
      </c>
      <c r="F36" s="196">
        <f>I_Cout_ss+C36</f>
        <v>1.568205128</v>
      </c>
      <c r="G36" s="196">
        <f t="shared" si="4"/>
        <v>1.568205128</v>
      </c>
      <c r="H36" s="196">
        <f t="shared" si="5"/>
        <v>1.568205128</v>
      </c>
      <c r="I36" s="201">
        <f>(COUTMAX/1000000)*(B36-B35)/H36</f>
        <v>0.0009954545455</v>
      </c>
      <c r="J36" s="201">
        <f t="shared" si="10"/>
        <v>0.02588181818</v>
      </c>
      <c r="K36" s="195">
        <f t="shared" si="6"/>
        <v>25.88181818</v>
      </c>
      <c r="L36" s="202">
        <f t="shared" si="7"/>
        <v>1</v>
      </c>
      <c r="M36" s="30">
        <f>1/COUTMAX*(E36/2-C36)*1000</f>
        <v>1.291290565</v>
      </c>
      <c r="N36" s="213">
        <f t="shared" si="8"/>
        <v>0.06837516923</v>
      </c>
      <c r="O36" s="30">
        <f t="shared" si="9"/>
        <v>68.68738462</v>
      </c>
      <c r="P36" s="30">
        <f>(A36-B36)*(I_Cout_ss*$Q$2+C36)</f>
        <v>109.2753846</v>
      </c>
      <c r="Q36" s="30">
        <f>(A36-B36)*(I_Cout_ss*$R$2+C36)</f>
        <v>46.83230769</v>
      </c>
      <c r="R36" s="30"/>
      <c r="S36" s="30"/>
      <c r="T36" s="30"/>
      <c r="U36" s="30"/>
      <c r="V36" s="30"/>
      <c r="W36" s="30"/>
      <c r="X36" s="30"/>
      <c r="Y36" s="30"/>
      <c r="Z36" s="30"/>
      <c r="AA36" s="30"/>
      <c r="AB36" s="30"/>
      <c r="AC36" s="30"/>
    </row>
    <row r="37" ht="12.75" customHeight="1">
      <c r="A37" s="30">
        <f>VINMAX</f>
        <v>58.4</v>
      </c>
      <c r="B37" s="216">
        <f>VINMAX*((ROW()-10)/104)</f>
        <v>15.16153846</v>
      </c>
      <c r="C37" s="196">
        <f t="shared" si="1"/>
        <v>0</v>
      </c>
      <c r="D37" s="205">
        <f t="shared" si="2"/>
        <v>314.4654088</v>
      </c>
      <c r="E37" s="44">
        <f t="shared" si="3"/>
        <v>7.272816784</v>
      </c>
      <c r="F37" s="196">
        <f>I_Cout_ss+C37</f>
        <v>1.568205128</v>
      </c>
      <c r="G37" s="196">
        <f t="shared" si="4"/>
        <v>1.568205128</v>
      </c>
      <c r="H37" s="196">
        <f t="shared" si="5"/>
        <v>1.568205128</v>
      </c>
      <c r="I37" s="201">
        <f>(COUTMAX/1000000)*(B37-B36)/H37</f>
        <v>0.0009954545455</v>
      </c>
      <c r="J37" s="201">
        <f t="shared" si="10"/>
        <v>0.02687727273</v>
      </c>
      <c r="K37" s="195">
        <f t="shared" si="6"/>
        <v>26.87727273</v>
      </c>
      <c r="L37" s="202">
        <f t="shared" si="7"/>
        <v>1</v>
      </c>
      <c r="M37" s="30">
        <f>1/COUTMAX*(E37/2-C37)*1000</f>
        <v>1.308060573</v>
      </c>
      <c r="N37" s="213">
        <f t="shared" si="8"/>
        <v>0.0674985645</v>
      </c>
      <c r="O37" s="30">
        <f t="shared" si="9"/>
        <v>67.80677712</v>
      </c>
      <c r="P37" s="30">
        <f>(A37-B37)*(I_Cout_ss*$Q$2+C37)</f>
        <v>107.8744181</v>
      </c>
      <c r="Q37" s="30">
        <f>(A37-B37)*(I_Cout_ss*$R$2+C37)</f>
        <v>46.23189349</v>
      </c>
      <c r="R37" s="30"/>
      <c r="S37" s="30"/>
      <c r="T37" s="30"/>
      <c r="U37" s="30"/>
      <c r="V37" s="30"/>
      <c r="W37" s="30"/>
      <c r="X37" s="30"/>
      <c r="Y37" s="30"/>
      <c r="Z37" s="30"/>
      <c r="AA37" s="30"/>
      <c r="AB37" s="30"/>
      <c r="AC37" s="30"/>
    </row>
    <row r="38" ht="12.75" customHeight="1">
      <c r="A38" s="30">
        <f>VINMAX</f>
        <v>58.4</v>
      </c>
      <c r="B38" s="216">
        <f>VINMAX*((ROW()-10)/104)</f>
        <v>15.72307692</v>
      </c>
      <c r="C38" s="196">
        <f t="shared" si="1"/>
        <v>0</v>
      </c>
      <c r="D38" s="205">
        <f t="shared" si="2"/>
        <v>314.4654088</v>
      </c>
      <c r="E38" s="44">
        <f t="shared" si="3"/>
        <v>7.368511742</v>
      </c>
      <c r="F38" s="196">
        <f>I_Cout_ss+C38</f>
        <v>1.568205128</v>
      </c>
      <c r="G38" s="196">
        <f t="shared" si="4"/>
        <v>1.568205128</v>
      </c>
      <c r="H38" s="196">
        <f t="shared" si="5"/>
        <v>1.568205128</v>
      </c>
      <c r="I38" s="201">
        <f>(COUTMAX/1000000)*(B38-B37)/H38</f>
        <v>0.0009954545455</v>
      </c>
      <c r="J38" s="201">
        <f t="shared" si="10"/>
        <v>0.02787272727</v>
      </c>
      <c r="K38" s="195">
        <f t="shared" si="6"/>
        <v>27.87272727</v>
      </c>
      <c r="L38" s="202">
        <f t="shared" si="7"/>
        <v>1</v>
      </c>
      <c r="M38" s="30">
        <f>1/COUTMAX*(E38/2-C38)*1000</f>
        <v>1.325271896</v>
      </c>
      <c r="N38" s="213">
        <f t="shared" si="8"/>
        <v>0.06662195976</v>
      </c>
      <c r="O38" s="30">
        <f t="shared" si="9"/>
        <v>66.92616963</v>
      </c>
      <c r="P38" s="30">
        <f>(A38-B38)*(I_Cout_ss*$Q$2+C38)</f>
        <v>106.4734517</v>
      </c>
      <c r="Q38" s="30">
        <f>(A38-B38)*(I_Cout_ss*$R$2+C38)</f>
        <v>45.63147929</v>
      </c>
      <c r="R38" s="30"/>
      <c r="S38" s="30"/>
      <c r="T38" s="30"/>
      <c r="U38" s="30"/>
      <c r="V38" s="30"/>
      <c r="W38" s="30"/>
      <c r="X38" s="30"/>
      <c r="Y38" s="30"/>
      <c r="Z38" s="30"/>
      <c r="AA38" s="30"/>
      <c r="AB38" s="30"/>
      <c r="AC38" s="30"/>
    </row>
    <row r="39" ht="12.75" customHeight="1">
      <c r="A39" s="30">
        <f>VINMAX</f>
        <v>58.4</v>
      </c>
      <c r="B39" s="216">
        <f>VINMAX*((ROW()-10)/104)</f>
        <v>16.28461538</v>
      </c>
      <c r="C39" s="196">
        <f t="shared" si="1"/>
        <v>0</v>
      </c>
      <c r="D39" s="205">
        <f t="shared" si="2"/>
        <v>314.4654088</v>
      </c>
      <c r="E39" s="44">
        <f t="shared" si="3"/>
        <v>7.466758565</v>
      </c>
      <c r="F39" s="196">
        <f>I_Cout_ss+C39</f>
        <v>1.568205128</v>
      </c>
      <c r="G39" s="196">
        <f t="shared" si="4"/>
        <v>1.568205128</v>
      </c>
      <c r="H39" s="196">
        <f t="shared" si="5"/>
        <v>1.568205128</v>
      </c>
      <c r="I39" s="201">
        <f>(COUTMAX/1000000)*(B39-B38)/H39</f>
        <v>0.0009954545455</v>
      </c>
      <c r="J39" s="201">
        <f t="shared" si="10"/>
        <v>0.02886818182</v>
      </c>
      <c r="K39" s="195">
        <f t="shared" si="6"/>
        <v>28.86818182</v>
      </c>
      <c r="L39" s="202">
        <f t="shared" si="7"/>
        <v>1</v>
      </c>
      <c r="M39" s="30">
        <f>1/COUTMAX*(E39/2-C39)*1000</f>
        <v>1.342942188</v>
      </c>
      <c r="N39" s="213">
        <f t="shared" si="8"/>
        <v>0.06574535503</v>
      </c>
      <c r="O39" s="30">
        <f t="shared" si="9"/>
        <v>66.04556213</v>
      </c>
      <c r="P39" s="30">
        <f>(A39-B39)*(I_Cout_ss*$Q$2+C39)</f>
        <v>105.0724852</v>
      </c>
      <c r="Q39" s="30">
        <f>(A39-B39)*(I_Cout_ss*$R$2+C39)</f>
        <v>45.03106509</v>
      </c>
      <c r="R39" s="30"/>
      <c r="S39" s="30"/>
      <c r="T39" s="30"/>
      <c r="U39" s="30"/>
      <c r="V39" s="30"/>
      <c r="W39" s="30"/>
      <c r="X39" s="30"/>
      <c r="Y39" s="30"/>
      <c r="Z39" s="30"/>
      <c r="AA39" s="30"/>
      <c r="AB39" s="30"/>
      <c r="AC39" s="30"/>
    </row>
    <row r="40" ht="12.75" customHeight="1">
      <c r="A40" s="30">
        <f>VINMAX</f>
        <v>58.4</v>
      </c>
      <c r="B40" s="216">
        <f>VINMAX*((ROW()-10)/104)</f>
        <v>16.84615385</v>
      </c>
      <c r="C40" s="196">
        <f t="shared" si="1"/>
        <v>0</v>
      </c>
      <c r="D40" s="205">
        <f t="shared" si="2"/>
        <v>314.4654088</v>
      </c>
      <c r="E40" s="44">
        <f t="shared" si="3"/>
        <v>7.567660708</v>
      </c>
      <c r="F40" s="196">
        <f>I_Cout_ss+C40</f>
        <v>1.568205128</v>
      </c>
      <c r="G40" s="196">
        <f t="shared" si="4"/>
        <v>1.568205128</v>
      </c>
      <c r="H40" s="196">
        <f t="shared" si="5"/>
        <v>1.568205128</v>
      </c>
      <c r="I40" s="201">
        <f>(COUTMAX/1000000)*(B40-B39)/H40</f>
        <v>0.0009954545455</v>
      </c>
      <c r="J40" s="201">
        <f t="shared" si="10"/>
        <v>0.02986363636</v>
      </c>
      <c r="K40" s="195">
        <f t="shared" si="6"/>
        <v>29.86363636</v>
      </c>
      <c r="L40" s="202">
        <f t="shared" si="7"/>
        <v>1</v>
      </c>
      <c r="M40" s="30">
        <f>1/COUTMAX*(E40/2-C40)*1000</f>
        <v>1.361090055</v>
      </c>
      <c r="N40" s="213">
        <f t="shared" si="8"/>
        <v>0.0648687503</v>
      </c>
      <c r="O40" s="30">
        <f t="shared" si="9"/>
        <v>65.16495464</v>
      </c>
      <c r="P40" s="30">
        <f>(A40-B40)*(I_Cout_ss*$Q$2+C40)</f>
        <v>103.6715187</v>
      </c>
      <c r="Q40" s="30">
        <f>(A40-B40)*(I_Cout_ss*$R$2+C40)</f>
        <v>44.43065089</v>
      </c>
      <c r="R40" s="30"/>
      <c r="S40" s="30"/>
      <c r="T40" s="30"/>
      <c r="U40" s="30"/>
      <c r="V40" s="30"/>
      <c r="W40" s="30"/>
      <c r="X40" s="30"/>
      <c r="Y40" s="30"/>
      <c r="Z40" s="30"/>
      <c r="AA40" s="30"/>
      <c r="AB40" s="30"/>
      <c r="AC40" s="30"/>
    </row>
    <row r="41" ht="12.75" customHeight="1">
      <c r="A41" s="30">
        <f>VINMAX</f>
        <v>58.4</v>
      </c>
      <c r="B41" s="216">
        <f>VINMAX*((ROW()-10)/104)</f>
        <v>17.40769231</v>
      </c>
      <c r="C41" s="196">
        <f t="shared" si="1"/>
        <v>0</v>
      </c>
      <c r="D41" s="205">
        <f t="shared" si="2"/>
        <v>314.4654088</v>
      </c>
      <c r="E41" s="44">
        <f t="shared" si="3"/>
        <v>7.671327293</v>
      </c>
      <c r="F41" s="196">
        <f>I_Cout_ss+C41</f>
        <v>1.568205128</v>
      </c>
      <c r="G41" s="196">
        <f t="shared" si="4"/>
        <v>1.568205128</v>
      </c>
      <c r="H41" s="196">
        <f t="shared" si="5"/>
        <v>1.568205128</v>
      </c>
      <c r="I41" s="201">
        <f>(COUTMAX/1000000)*(B41-B40)/H41</f>
        <v>0.0009954545455</v>
      </c>
      <c r="J41" s="201">
        <f t="shared" si="10"/>
        <v>0.03085909091</v>
      </c>
      <c r="K41" s="195">
        <f t="shared" si="6"/>
        <v>30.85909091</v>
      </c>
      <c r="L41" s="202">
        <f t="shared" si="7"/>
        <v>1</v>
      </c>
      <c r="M41" s="30">
        <f>1/COUTMAX*(E41/2-C41)*1000</f>
        <v>1.379735125</v>
      </c>
      <c r="N41" s="213">
        <f t="shared" si="8"/>
        <v>0.06399214556</v>
      </c>
      <c r="O41" s="30">
        <f t="shared" si="9"/>
        <v>64.28434714</v>
      </c>
      <c r="P41" s="30">
        <f>(A41-B41)*(I_Cout_ss*$Q$2+C41)</f>
        <v>102.2705523</v>
      </c>
      <c r="Q41" s="30">
        <f>(A41-B41)*(I_Cout_ss*$R$2+C41)</f>
        <v>43.83023669</v>
      </c>
      <c r="R41" s="30"/>
      <c r="S41" s="30"/>
      <c r="T41" s="30"/>
      <c r="U41" s="30"/>
      <c r="V41" s="30"/>
      <c r="W41" s="30"/>
      <c r="X41" s="30"/>
      <c r="Y41" s="30"/>
      <c r="Z41" s="30"/>
      <c r="AA41" s="30"/>
      <c r="AB41" s="30"/>
      <c r="AC41" s="30"/>
    </row>
    <row r="42" ht="12.75" customHeight="1">
      <c r="A42" s="30">
        <f>VINMAX</f>
        <v>58.4</v>
      </c>
      <c r="B42" s="216">
        <f>VINMAX*((ROW()-10)/104)</f>
        <v>17.96923077</v>
      </c>
      <c r="C42" s="196">
        <f t="shared" si="1"/>
        <v>0</v>
      </c>
      <c r="D42" s="205">
        <f t="shared" si="2"/>
        <v>314.4654088</v>
      </c>
      <c r="E42" s="44">
        <f t="shared" si="3"/>
        <v>7.777873505</v>
      </c>
      <c r="F42" s="196">
        <f>I_Cout_ss+C42</f>
        <v>1.568205128</v>
      </c>
      <c r="G42" s="196">
        <f t="shared" si="4"/>
        <v>1.568205128</v>
      </c>
      <c r="H42" s="196">
        <f t="shared" si="5"/>
        <v>1.568205128</v>
      </c>
      <c r="I42" s="201">
        <f>(COUTMAX/1000000)*(B42-B41)/H42</f>
        <v>0.0009954545455</v>
      </c>
      <c r="J42" s="201">
        <f t="shared" si="10"/>
        <v>0.03185454545</v>
      </c>
      <c r="K42" s="195">
        <f t="shared" si="6"/>
        <v>31.85454545</v>
      </c>
      <c r="L42" s="202">
        <f t="shared" si="7"/>
        <v>1</v>
      </c>
      <c r="M42" s="30">
        <f>1/COUTMAX*(E42/2-C42)*1000</f>
        <v>1.398898112</v>
      </c>
      <c r="N42" s="213">
        <f t="shared" si="8"/>
        <v>0.06311554083</v>
      </c>
      <c r="O42" s="30">
        <f t="shared" si="9"/>
        <v>63.40373964</v>
      </c>
      <c r="P42" s="30">
        <f>(A42-B42)*(I_Cout_ss*$Q$2+C42)</f>
        <v>100.8695858</v>
      </c>
      <c r="Q42" s="30">
        <f>(A42-B42)*(I_Cout_ss*$R$2+C42)</f>
        <v>43.22982249</v>
      </c>
      <c r="R42" s="30"/>
      <c r="S42" s="30"/>
      <c r="T42" s="30"/>
      <c r="U42" s="30"/>
      <c r="V42" s="30"/>
      <c r="W42" s="30"/>
      <c r="X42" s="30"/>
      <c r="Y42" s="30"/>
      <c r="Z42" s="30"/>
      <c r="AA42" s="30"/>
      <c r="AB42" s="30"/>
      <c r="AC42" s="30"/>
    </row>
    <row r="43" ht="12.75" customHeight="1">
      <c r="A43" s="30">
        <f>VINMAX</f>
        <v>58.4</v>
      </c>
      <c r="B43" s="216">
        <f>VINMAX*((ROW()-10)/104)</f>
        <v>18.53076923</v>
      </c>
      <c r="C43" s="196">
        <f t="shared" si="1"/>
        <v>0</v>
      </c>
      <c r="D43" s="205">
        <f t="shared" si="2"/>
        <v>314.4654088</v>
      </c>
      <c r="E43" s="44">
        <f t="shared" si="3"/>
        <v>7.88742102</v>
      </c>
      <c r="F43" s="196">
        <f>I_Cout_ss+C43</f>
        <v>1.568205128</v>
      </c>
      <c r="G43" s="196">
        <f t="shared" si="4"/>
        <v>1.568205128</v>
      </c>
      <c r="H43" s="196">
        <f t="shared" si="5"/>
        <v>1.568205128</v>
      </c>
      <c r="I43" s="201">
        <f>(COUTMAX/1000000)*(B43-B42)/H43</f>
        <v>0.0009954545455</v>
      </c>
      <c r="J43" s="201">
        <f t="shared" si="10"/>
        <v>0.03285</v>
      </c>
      <c r="K43" s="195">
        <f t="shared" si="6"/>
        <v>32.85</v>
      </c>
      <c r="L43" s="202">
        <f t="shared" si="7"/>
        <v>1</v>
      </c>
      <c r="M43" s="30">
        <f>1/COUTMAX*(E43/2-C43)*1000</f>
        <v>1.418600903</v>
      </c>
      <c r="N43" s="213">
        <f t="shared" si="8"/>
        <v>0.06223893609</v>
      </c>
      <c r="O43" s="30">
        <f t="shared" si="9"/>
        <v>62.52313215</v>
      </c>
      <c r="P43" s="30">
        <f>(A43-B43)*(I_Cout_ss*$Q$2+C43)</f>
        <v>99.46861933</v>
      </c>
      <c r="Q43" s="30">
        <f>(A43-B43)*(I_Cout_ss*$R$2+C43)</f>
        <v>42.62940828</v>
      </c>
      <c r="R43" s="30"/>
      <c r="S43" s="30"/>
      <c r="T43" s="30"/>
      <c r="U43" s="30"/>
      <c r="V43" s="30"/>
      <c r="W43" s="30"/>
      <c r="X43" s="30"/>
      <c r="Y43" s="30"/>
      <c r="Z43" s="30"/>
      <c r="AA43" s="30"/>
      <c r="AB43" s="30"/>
      <c r="AC43" s="30"/>
    </row>
    <row r="44" ht="12.75" customHeight="1">
      <c r="A44" s="30">
        <f>VINMAX</f>
        <v>58.4</v>
      </c>
      <c r="B44" s="216">
        <f>VINMAX*((ROW()-10)/104)</f>
        <v>19.09230769</v>
      </c>
      <c r="C44" s="196">
        <f t="shared" si="1"/>
        <v>0</v>
      </c>
      <c r="D44" s="205">
        <f t="shared" si="2"/>
        <v>314.4654088</v>
      </c>
      <c r="E44" s="44">
        <f t="shared" si="3"/>
        <v>8.000098463</v>
      </c>
      <c r="F44" s="196">
        <f>I_Cout_ss+C44</f>
        <v>1.568205128</v>
      </c>
      <c r="G44" s="196">
        <f t="shared" si="4"/>
        <v>1.568205128</v>
      </c>
      <c r="H44" s="196">
        <f t="shared" si="5"/>
        <v>1.568205128</v>
      </c>
      <c r="I44" s="201">
        <f>(COUTMAX/1000000)*(B44-B43)/H44</f>
        <v>0.0009954545455</v>
      </c>
      <c r="J44" s="201">
        <f t="shared" si="10"/>
        <v>0.03384545455</v>
      </c>
      <c r="K44" s="195">
        <f t="shared" si="6"/>
        <v>33.84545455</v>
      </c>
      <c r="L44" s="202">
        <f t="shared" si="7"/>
        <v>1</v>
      </c>
      <c r="M44" s="30">
        <f>1/COUTMAX*(E44/2-C44)*1000</f>
        <v>1.43886663</v>
      </c>
      <c r="N44" s="213">
        <f t="shared" si="8"/>
        <v>0.06136233136</v>
      </c>
      <c r="O44" s="30">
        <f t="shared" si="9"/>
        <v>61.64252465</v>
      </c>
      <c r="P44" s="30">
        <f>(A44-B44)*(I_Cout_ss*$Q$2+C44)</f>
        <v>98.06765286</v>
      </c>
      <c r="Q44" s="30">
        <f>(A44-B44)*(I_Cout_ss*$R$2+C44)</f>
        <v>42.02899408</v>
      </c>
      <c r="R44" s="30"/>
      <c r="S44" s="30"/>
      <c r="T44" s="30"/>
      <c r="U44" s="30"/>
      <c r="V44" s="30"/>
      <c r="W44" s="30"/>
      <c r="X44" s="30"/>
      <c r="Y44" s="30"/>
      <c r="Z44" s="30"/>
      <c r="AA44" s="30"/>
      <c r="AB44" s="30"/>
      <c r="AC44" s="30"/>
    </row>
    <row r="45" ht="12.75" customHeight="1">
      <c r="A45" s="30">
        <f>VINMAX</f>
        <v>58.4</v>
      </c>
      <c r="B45" s="216">
        <f>VINMAX*((ROW()-10)/104)</f>
        <v>19.65384615</v>
      </c>
      <c r="C45" s="196">
        <f t="shared" si="1"/>
        <v>0</v>
      </c>
      <c r="D45" s="205">
        <f t="shared" si="2"/>
        <v>314.4654088</v>
      </c>
      <c r="E45" s="44">
        <f t="shared" si="3"/>
        <v>8.116041919</v>
      </c>
      <c r="F45" s="196">
        <f>I_Cout_ss+C45</f>
        <v>1.568205128</v>
      </c>
      <c r="G45" s="196">
        <f t="shared" si="4"/>
        <v>1.568205128</v>
      </c>
      <c r="H45" s="196">
        <f t="shared" si="5"/>
        <v>1.568205128</v>
      </c>
      <c r="I45" s="201">
        <f>(COUTMAX/1000000)*(B45-B44)/H45</f>
        <v>0.0009954545455</v>
      </c>
      <c r="J45" s="201">
        <f t="shared" si="10"/>
        <v>0.03484090909</v>
      </c>
      <c r="K45" s="195">
        <f t="shared" si="6"/>
        <v>34.84090909</v>
      </c>
      <c r="L45" s="202">
        <f t="shared" si="7"/>
        <v>1</v>
      </c>
      <c r="M45" s="30">
        <f>1/COUTMAX*(E45/2-C45)*1000</f>
        <v>1.45971977</v>
      </c>
      <c r="N45" s="213">
        <f t="shared" si="8"/>
        <v>0.06048572663</v>
      </c>
      <c r="O45" s="30">
        <f t="shared" si="9"/>
        <v>60.76191716</v>
      </c>
      <c r="P45" s="30">
        <f>(A45-B45)*(I_Cout_ss*$Q$2+C45)</f>
        <v>96.66668639</v>
      </c>
      <c r="Q45" s="30">
        <f>(A45-B45)*(I_Cout_ss*$R$2+C45)</f>
        <v>41.42857988</v>
      </c>
      <c r="R45" s="30"/>
      <c r="S45" s="30"/>
      <c r="T45" s="30"/>
      <c r="U45" s="30"/>
      <c r="V45" s="30"/>
      <c r="W45" s="30"/>
      <c r="X45" s="30"/>
      <c r="Y45" s="30"/>
      <c r="Z45" s="30"/>
      <c r="AA45" s="30"/>
      <c r="AB45" s="30"/>
      <c r="AC45" s="30"/>
    </row>
    <row r="46" ht="12.75" customHeight="1">
      <c r="A46" s="30">
        <f>VINMAX</f>
        <v>58.4</v>
      </c>
      <c r="B46" s="216">
        <f>VINMAX*((ROW()-10)/104)</f>
        <v>20.21538462</v>
      </c>
      <c r="C46" s="196">
        <f t="shared" si="1"/>
        <v>0</v>
      </c>
      <c r="D46" s="205">
        <f t="shared" si="2"/>
        <v>314.4654088</v>
      </c>
      <c r="E46" s="44">
        <f t="shared" si="3"/>
        <v>8.235395476</v>
      </c>
      <c r="F46" s="196">
        <f>I_Cout_ss+C46</f>
        <v>1.568205128</v>
      </c>
      <c r="G46" s="196">
        <f t="shared" si="4"/>
        <v>1.568205128</v>
      </c>
      <c r="H46" s="196">
        <f t="shared" si="5"/>
        <v>1.568205128</v>
      </c>
      <c r="I46" s="201">
        <f>(COUTMAX/1000000)*(B46-B45)/H46</f>
        <v>0.0009954545455</v>
      </c>
      <c r="J46" s="201">
        <f t="shared" si="10"/>
        <v>0.03583636364</v>
      </c>
      <c r="K46" s="195">
        <f t="shared" si="6"/>
        <v>35.83636364</v>
      </c>
      <c r="L46" s="202">
        <f t="shared" si="7"/>
        <v>1</v>
      </c>
      <c r="M46" s="30">
        <f>1/COUTMAX*(E46/2-C46)*1000</f>
        <v>1.481186237</v>
      </c>
      <c r="N46" s="213">
        <f t="shared" si="8"/>
        <v>0.05960912189</v>
      </c>
      <c r="O46" s="30">
        <f t="shared" si="9"/>
        <v>59.88130966</v>
      </c>
      <c r="P46" s="30">
        <f>(A46-B46)*(I_Cout_ss*$Q$2+C46)</f>
        <v>95.26571992</v>
      </c>
      <c r="Q46" s="30">
        <f>(A46-B46)*(I_Cout_ss*$R$2+C46)</f>
        <v>40.82816568</v>
      </c>
      <c r="R46" s="30"/>
      <c r="S46" s="30"/>
      <c r="T46" s="30"/>
      <c r="U46" s="30"/>
      <c r="V46" s="30"/>
      <c r="W46" s="30"/>
      <c r="X46" s="30"/>
      <c r="Y46" s="30"/>
      <c r="Z46" s="30"/>
      <c r="AA46" s="30"/>
      <c r="AB46" s="30"/>
      <c r="AC46" s="30"/>
    </row>
    <row r="47" ht="12.75" customHeight="1">
      <c r="A47" s="30">
        <f>VINMAX</f>
        <v>58.4</v>
      </c>
      <c r="B47" s="216">
        <f>VINMAX*((ROW()-10)/104)</f>
        <v>20.77692308</v>
      </c>
      <c r="C47" s="196">
        <f t="shared" si="1"/>
        <v>0</v>
      </c>
      <c r="D47" s="205">
        <f t="shared" si="2"/>
        <v>314.4654088</v>
      </c>
      <c r="E47" s="44">
        <f t="shared" si="3"/>
        <v>8.358311827</v>
      </c>
      <c r="F47" s="196">
        <f>I_Cout_ss+C47</f>
        <v>1.568205128</v>
      </c>
      <c r="G47" s="196">
        <f t="shared" si="4"/>
        <v>1.568205128</v>
      </c>
      <c r="H47" s="196">
        <f t="shared" si="5"/>
        <v>1.568205128</v>
      </c>
      <c r="I47" s="201">
        <f>(COUTMAX/1000000)*(B47-B46)/H47</f>
        <v>0.0009954545455</v>
      </c>
      <c r="J47" s="201">
        <f t="shared" si="10"/>
        <v>0.03683181818</v>
      </c>
      <c r="K47" s="195">
        <f t="shared" si="6"/>
        <v>36.83181818</v>
      </c>
      <c r="L47" s="202">
        <f t="shared" si="7"/>
        <v>1</v>
      </c>
      <c r="M47" s="30">
        <f>1/COUTMAX*(E47/2-C47)*1000</f>
        <v>1.503293494</v>
      </c>
      <c r="N47" s="213">
        <f t="shared" si="8"/>
        <v>0.05873251716</v>
      </c>
      <c r="O47" s="30">
        <f t="shared" si="9"/>
        <v>59.00070217</v>
      </c>
      <c r="P47" s="30">
        <f>(A47-B47)*(I_Cout_ss*$Q$2+C47)</f>
        <v>93.86475345</v>
      </c>
      <c r="Q47" s="30">
        <f>(A47-B47)*(I_Cout_ss*$R$2+C47)</f>
        <v>40.22775148</v>
      </c>
      <c r="R47" s="30"/>
      <c r="S47" s="30"/>
      <c r="T47" s="30"/>
      <c r="U47" s="30"/>
      <c r="V47" s="30"/>
      <c r="W47" s="30"/>
      <c r="X47" s="30"/>
      <c r="Y47" s="30"/>
      <c r="Z47" s="30"/>
      <c r="AA47" s="30"/>
      <c r="AB47" s="30"/>
      <c r="AC47" s="30"/>
    </row>
    <row r="48" ht="12.75" customHeight="1">
      <c r="A48" s="30">
        <f>VINMAX</f>
        <v>58.4</v>
      </c>
      <c r="B48" s="216">
        <f>VINMAX*((ROW()-10)/104)</f>
        <v>21.33846154</v>
      </c>
      <c r="C48" s="196">
        <f t="shared" si="1"/>
        <v>0</v>
      </c>
      <c r="D48" s="205">
        <f t="shared" si="2"/>
        <v>314.4654088</v>
      </c>
      <c r="E48" s="44">
        <f t="shared" si="3"/>
        <v>8.484952915</v>
      </c>
      <c r="F48" s="196">
        <f>I_Cout_ss+C48</f>
        <v>1.568205128</v>
      </c>
      <c r="G48" s="196">
        <f t="shared" si="4"/>
        <v>1.568205128</v>
      </c>
      <c r="H48" s="196">
        <f t="shared" si="5"/>
        <v>1.568205128</v>
      </c>
      <c r="I48" s="201">
        <f>(COUTMAX/1000000)*(B48-B47)/H48</f>
        <v>0.0009954545455</v>
      </c>
      <c r="J48" s="201">
        <f t="shared" si="10"/>
        <v>0.03782727273</v>
      </c>
      <c r="K48" s="195">
        <f t="shared" si="6"/>
        <v>37.82727273</v>
      </c>
      <c r="L48" s="202">
        <f t="shared" si="7"/>
        <v>1</v>
      </c>
      <c r="M48" s="30">
        <f>1/COUTMAX*(E48/2-C48)*1000</f>
        <v>1.526070668</v>
      </c>
      <c r="N48" s="213">
        <f t="shared" si="8"/>
        <v>0.05785591243</v>
      </c>
      <c r="O48" s="30">
        <f t="shared" si="9"/>
        <v>58.12009467</v>
      </c>
      <c r="P48" s="30">
        <f>(A48-B48)*(I_Cout_ss*$Q$2+C48)</f>
        <v>92.46378698</v>
      </c>
      <c r="Q48" s="30">
        <f>(A48-B48)*(I_Cout_ss*$R$2+C48)</f>
        <v>39.62733728</v>
      </c>
      <c r="R48" s="30"/>
      <c r="S48" s="30"/>
      <c r="T48" s="30"/>
      <c r="U48" s="30"/>
      <c r="V48" s="30"/>
      <c r="W48" s="30"/>
      <c r="X48" s="30"/>
      <c r="Y48" s="30"/>
      <c r="Z48" s="30"/>
      <c r="AA48" s="30"/>
      <c r="AB48" s="30"/>
      <c r="AC48" s="30"/>
    </row>
    <row r="49" ht="12.75" customHeight="1">
      <c r="A49" s="30">
        <f>VINMAX</f>
        <v>58.4</v>
      </c>
      <c r="B49" s="216">
        <f>VINMAX*((ROW()-10)/104)</f>
        <v>21.9</v>
      </c>
      <c r="C49" s="196">
        <f t="shared" si="1"/>
        <v>0</v>
      </c>
      <c r="D49" s="205">
        <f t="shared" si="2"/>
        <v>314.4654088</v>
      </c>
      <c r="E49" s="44">
        <f t="shared" si="3"/>
        <v>8.615490652</v>
      </c>
      <c r="F49" s="196">
        <f>I_Cout_ss+C49</f>
        <v>1.568205128</v>
      </c>
      <c r="G49" s="196">
        <f t="shared" si="4"/>
        <v>1.568205128</v>
      </c>
      <c r="H49" s="196">
        <f t="shared" si="5"/>
        <v>1.568205128</v>
      </c>
      <c r="I49" s="201">
        <f>(COUTMAX/1000000)*(B49-B48)/H49</f>
        <v>0.0009954545455</v>
      </c>
      <c r="J49" s="201">
        <f t="shared" si="10"/>
        <v>0.03882272727</v>
      </c>
      <c r="K49" s="195">
        <f t="shared" si="6"/>
        <v>38.82272727</v>
      </c>
      <c r="L49" s="202">
        <f t="shared" si="7"/>
        <v>1</v>
      </c>
      <c r="M49" s="30">
        <f>1/COUTMAX*(E49/2-C49)*1000</f>
        <v>1.549548678</v>
      </c>
      <c r="N49" s="213">
        <f t="shared" si="8"/>
        <v>0.05697930769</v>
      </c>
      <c r="O49" s="30">
        <f t="shared" si="9"/>
        <v>57.23948718</v>
      </c>
      <c r="P49" s="30">
        <f>(A49-B49)*(I_Cout_ss*$Q$2+C49)</f>
        <v>91.06282051</v>
      </c>
      <c r="Q49" s="30">
        <f>(A49-B49)*(I_Cout_ss*$R$2+C49)</f>
        <v>39.02692308</v>
      </c>
      <c r="R49" s="30"/>
      <c r="S49" s="30"/>
      <c r="T49" s="30"/>
      <c r="U49" s="30"/>
      <c r="V49" s="30"/>
      <c r="W49" s="30"/>
      <c r="X49" s="30"/>
      <c r="Y49" s="30"/>
      <c r="Z49" s="30"/>
      <c r="AA49" s="30"/>
      <c r="AB49" s="30"/>
      <c r="AC49" s="30"/>
    </row>
    <row r="50" ht="12.75" customHeight="1">
      <c r="A50" s="30">
        <f>VINMAX</f>
        <v>58.4</v>
      </c>
      <c r="B50" s="216">
        <f>VINMAX*((ROW()-10)/104)</f>
        <v>22.46153846</v>
      </c>
      <c r="C50" s="196">
        <f t="shared" si="1"/>
        <v>0</v>
      </c>
      <c r="D50" s="205">
        <f t="shared" si="2"/>
        <v>314.4654088</v>
      </c>
      <c r="E50" s="44">
        <f t="shared" si="3"/>
        <v>8.750107694</v>
      </c>
      <c r="F50" s="196">
        <f>I_Cout_ss+C50</f>
        <v>1.568205128</v>
      </c>
      <c r="G50" s="196">
        <f t="shared" si="4"/>
        <v>1.568205128</v>
      </c>
      <c r="H50" s="196">
        <f t="shared" si="5"/>
        <v>1.568205128</v>
      </c>
      <c r="I50" s="201">
        <f>(COUTMAX/1000000)*(B50-B49)/H50</f>
        <v>0.0009954545455</v>
      </c>
      <c r="J50" s="201">
        <f t="shared" si="10"/>
        <v>0.03981818182</v>
      </c>
      <c r="K50" s="195">
        <f t="shared" si="6"/>
        <v>39.81818182</v>
      </c>
      <c r="L50" s="202">
        <f t="shared" si="7"/>
        <v>1</v>
      </c>
      <c r="M50" s="30">
        <f>1/COUTMAX*(E50/2-C50)*1000</f>
        <v>1.573760377</v>
      </c>
      <c r="N50" s="213">
        <f t="shared" si="8"/>
        <v>0.05610270296</v>
      </c>
      <c r="O50" s="30">
        <f t="shared" si="9"/>
        <v>56.35887968</v>
      </c>
      <c r="P50" s="30">
        <f>(A50-B50)*(I_Cout_ss*$Q$2+C50)</f>
        <v>89.66185404</v>
      </c>
      <c r="Q50" s="30">
        <f>(A50-B50)*(I_Cout_ss*$R$2+C50)</f>
        <v>38.42650888</v>
      </c>
      <c r="R50" s="30"/>
      <c r="S50" s="30"/>
      <c r="T50" s="30"/>
      <c r="U50" s="30"/>
      <c r="V50" s="30"/>
      <c r="W50" s="30"/>
      <c r="X50" s="30"/>
      <c r="Y50" s="30"/>
      <c r="Z50" s="30"/>
      <c r="AA50" s="30"/>
      <c r="AB50" s="30"/>
      <c r="AC50" s="30"/>
    </row>
    <row r="51" ht="12.75" customHeight="1">
      <c r="A51" s="30">
        <f>VINMAX</f>
        <v>58.4</v>
      </c>
      <c r="B51" s="216">
        <f>VINMAX*((ROW()-10)/104)</f>
        <v>23.02307692</v>
      </c>
      <c r="C51" s="196">
        <f t="shared" si="1"/>
        <v>0</v>
      </c>
      <c r="D51" s="205">
        <f t="shared" si="2"/>
        <v>314.4654088</v>
      </c>
      <c r="E51" s="44">
        <f t="shared" si="3"/>
        <v>8.888998292</v>
      </c>
      <c r="F51" s="196">
        <f>I_Cout_ss+C51</f>
        <v>1.568205128</v>
      </c>
      <c r="G51" s="196">
        <f t="shared" si="4"/>
        <v>1.568205128</v>
      </c>
      <c r="H51" s="196">
        <f t="shared" si="5"/>
        <v>1.568205128</v>
      </c>
      <c r="I51" s="201">
        <f>(COUTMAX/1000000)*(B51-B50)/H51</f>
        <v>0.0009954545455</v>
      </c>
      <c r="J51" s="201">
        <f t="shared" si="10"/>
        <v>0.04081363636</v>
      </c>
      <c r="K51" s="195">
        <f t="shared" si="6"/>
        <v>40.81363636</v>
      </c>
      <c r="L51" s="202">
        <f t="shared" si="7"/>
        <v>1</v>
      </c>
      <c r="M51" s="30">
        <f>1/COUTMAX*(E51/2-C51)*1000</f>
        <v>1.5987407</v>
      </c>
      <c r="N51" s="213">
        <f t="shared" si="8"/>
        <v>0.05522609822</v>
      </c>
      <c r="O51" s="30">
        <f t="shared" si="9"/>
        <v>55.47827219</v>
      </c>
      <c r="P51" s="30">
        <f>(A51-B51)*(I_Cout_ss*$Q$2+C51)</f>
        <v>88.26088757</v>
      </c>
      <c r="Q51" s="30">
        <f>(A51-B51)*(I_Cout_ss*$R$2+C51)</f>
        <v>37.82609467</v>
      </c>
      <c r="R51" s="30"/>
      <c r="S51" s="30"/>
      <c r="T51" s="30"/>
      <c r="U51" s="30"/>
      <c r="V51" s="30"/>
      <c r="W51" s="30"/>
      <c r="X51" s="30"/>
      <c r="Y51" s="30"/>
      <c r="Z51" s="30"/>
      <c r="AA51" s="30"/>
      <c r="AB51" s="30"/>
      <c r="AC51" s="30"/>
    </row>
    <row r="52" ht="12.75" customHeight="1">
      <c r="A52" s="30">
        <f>VINMAX</f>
        <v>58.4</v>
      </c>
      <c r="B52" s="216">
        <f>VINMAX*((ROW()-10)/104)</f>
        <v>23.58461538</v>
      </c>
      <c r="C52" s="196">
        <f t="shared" si="1"/>
        <v>0</v>
      </c>
      <c r="D52" s="205">
        <f t="shared" si="2"/>
        <v>314.4654088</v>
      </c>
      <c r="E52" s="44">
        <f t="shared" si="3"/>
        <v>9.032369232</v>
      </c>
      <c r="F52" s="196">
        <f>I_Cout_ss+C52</f>
        <v>1.568205128</v>
      </c>
      <c r="G52" s="196">
        <f t="shared" si="4"/>
        <v>1.568205128</v>
      </c>
      <c r="H52" s="196">
        <f t="shared" si="5"/>
        <v>1.568205128</v>
      </c>
      <c r="I52" s="201">
        <f>(COUTMAX/1000000)*(B52-B51)/H52</f>
        <v>0.0009954545455</v>
      </c>
      <c r="J52" s="201">
        <f t="shared" si="10"/>
        <v>0.04180909091</v>
      </c>
      <c r="K52" s="195">
        <f t="shared" si="6"/>
        <v>41.80909091</v>
      </c>
      <c r="L52" s="202">
        <f t="shared" si="7"/>
        <v>1</v>
      </c>
      <c r="M52" s="30">
        <f>1/COUTMAX*(E52/2-C52)*1000</f>
        <v>1.62452684</v>
      </c>
      <c r="N52" s="213">
        <f t="shared" si="8"/>
        <v>0.05434949349</v>
      </c>
      <c r="O52" s="30">
        <f t="shared" si="9"/>
        <v>54.59766469</v>
      </c>
      <c r="P52" s="30">
        <f>(A52-B52)*(I_Cout_ss*$Q$2+C52)</f>
        <v>86.8599211</v>
      </c>
      <c r="Q52" s="30">
        <f>(A52-B52)*(I_Cout_ss*$R$2+C52)</f>
        <v>37.22568047</v>
      </c>
      <c r="R52" s="30"/>
      <c r="S52" s="30"/>
      <c r="T52" s="30"/>
      <c r="U52" s="30"/>
      <c r="V52" s="30"/>
      <c r="W52" s="30"/>
      <c r="X52" s="30"/>
      <c r="Y52" s="30"/>
      <c r="Z52" s="30"/>
      <c r="AA52" s="30"/>
      <c r="AB52" s="30"/>
      <c r="AC52" s="30"/>
    </row>
    <row r="53" ht="12.75" customHeight="1">
      <c r="A53" s="30">
        <f>VINMAX</f>
        <v>58.4</v>
      </c>
      <c r="B53" s="216">
        <f>VINMAX*((ROW()-10)/104)</f>
        <v>24.14615385</v>
      </c>
      <c r="C53" s="196">
        <f t="shared" si="1"/>
        <v>0</v>
      </c>
      <c r="D53" s="205">
        <f t="shared" si="2"/>
        <v>314.4654088</v>
      </c>
      <c r="E53" s="44">
        <f t="shared" si="3"/>
        <v>9.180440859</v>
      </c>
      <c r="F53" s="196">
        <f>I_Cout_ss+C53</f>
        <v>1.568205128</v>
      </c>
      <c r="G53" s="196">
        <f t="shared" si="4"/>
        <v>1.568205128</v>
      </c>
      <c r="H53" s="196">
        <f t="shared" si="5"/>
        <v>1.568205128</v>
      </c>
      <c r="I53" s="201">
        <f>(COUTMAX/1000000)*(B53-B52)/H53</f>
        <v>0.0009954545455</v>
      </c>
      <c r="J53" s="201">
        <f t="shared" si="10"/>
        <v>0.04280454545</v>
      </c>
      <c r="K53" s="195">
        <f t="shared" si="6"/>
        <v>42.80454545</v>
      </c>
      <c r="L53" s="202">
        <f t="shared" si="7"/>
        <v>1</v>
      </c>
      <c r="M53" s="30">
        <f>1/COUTMAX*(E53/2-C53)*1000</f>
        <v>1.651158428</v>
      </c>
      <c r="N53" s="213">
        <f t="shared" si="8"/>
        <v>0.05347288876</v>
      </c>
      <c r="O53" s="30">
        <f t="shared" si="9"/>
        <v>53.7170572</v>
      </c>
      <c r="P53" s="30">
        <f>(A53-B53)*(I_Cout_ss*$Q$2+C53)</f>
        <v>85.45895464</v>
      </c>
      <c r="Q53" s="30">
        <f>(A53-B53)*(I_Cout_ss*$R$2+C53)</f>
        <v>36.62526627</v>
      </c>
      <c r="R53" s="30"/>
      <c r="S53" s="30"/>
      <c r="T53" s="30"/>
      <c r="U53" s="30"/>
      <c r="V53" s="30"/>
      <c r="W53" s="30"/>
      <c r="X53" s="30"/>
      <c r="Y53" s="30"/>
      <c r="Z53" s="30"/>
      <c r="AA53" s="30"/>
      <c r="AB53" s="30"/>
      <c r="AC53" s="30"/>
    </row>
    <row r="54" ht="12.75" customHeight="1">
      <c r="A54" s="30">
        <f>VINMAX</f>
        <v>58.4</v>
      </c>
      <c r="B54" s="216">
        <f>VINMAX*((ROW()-10)/104)</f>
        <v>24.70769231</v>
      </c>
      <c r="C54" s="196">
        <f t="shared" si="1"/>
        <v>0</v>
      </c>
      <c r="D54" s="205">
        <f t="shared" si="2"/>
        <v>314.4654088</v>
      </c>
      <c r="E54" s="44">
        <f t="shared" si="3"/>
        <v>9.333448207</v>
      </c>
      <c r="F54" s="196">
        <f>I_Cout_ss+C54</f>
        <v>1.568205128</v>
      </c>
      <c r="G54" s="196">
        <f t="shared" si="4"/>
        <v>1.568205128</v>
      </c>
      <c r="H54" s="196">
        <f t="shared" si="5"/>
        <v>1.568205128</v>
      </c>
      <c r="I54" s="201">
        <f>(COUTMAX/1000000)*(B54-B53)/H54</f>
        <v>0.0009954545455</v>
      </c>
      <c r="J54" s="201">
        <f t="shared" si="10"/>
        <v>0.0438</v>
      </c>
      <c r="K54" s="195">
        <f t="shared" si="6"/>
        <v>43.8</v>
      </c>
      <c r="L54" s="202">
        <f t="shared" si="7"/>
        <v>1</v>
      </c>
      <c r="M54" s="30">
        <f>1/COUTMAX*(E54/2-C54)*1000</f>
        <v>1.678677735</v>
      </c>
      <c r="N54" s="213">
        <f t="shared" si="8"/>
        <v>0.05259628402</v>
      </c>
      <c r="O54" s="30">
        <f t="shared" si="9"/>
        <v>52.8364497</v>
      </c>
      <c r="P54" s="30">
        <f>(A54-B54)*(I_Cout_ss*$Q$2+C54)</f>
        <v>84.05798817</v>
      </c>
      <c r="Q54" s="30">
        <f>(A54-B54)*(I_Cout_ss*$R$2+C54)</f>
        <v>36.02485207</v>
      </c>
      <c r="R54" s="30"/>
      <c r="S54" s="30"/>
      <c r="T54" s="30"/>
      <c r="U54" s="30"/>
      <c r="V54" s="30"/>
      <c r="W54" s="30"/>
      <c r="X54" s="30"/>
      <c r="Y54" s="30"/>
      <c r="Z54" s="30"/>
      <c r="AA54" s="30"/>
      <c r="AB54" s="30"/>
      <c r="AC54" s="30"/>
    </row>
    <row r="55" ht="12.75" customHeight="1">
      <c r="A55" s="30">
        <f>VINMAX</f>
        <v>58.4</v>
      </c>
      <c r="B55" s="216">
        <f>VINMAX*((ROW()-10)/104)</f>
        <v>25.26923077</v>
      </c>
      <c r="C55" s="196">
        <f t="shared" si="1"/>
        <v>0</v>
      </c>
      <c r="D55" s="205">
        <f t="shared" si="2"/>
        <v>314.4654088</v>
      </c>
      <c r="E55" s="44">
        <f t="shared" si="3"/>
        <v>9.491642244</v>
      </c>
      <c r="F55" s="196">
        <f>I_Cout_ss+C55</f>
        <v>1.568205128</v>
      </c>
      <c r="G55" s="196">
        <f t="shared" si="4"/>
        <v>1.568205128</v>
      </c>
      <c r="H55" s="196">
        <f t="shared" si="5"/>
        <v>1.568205128</v>
      </c>
      <c r="I55" s="201">
        <f>(COUTMAX/1000000)*(B55-B54)/H55</f>
        <v>0.0009954545455</v>
      </c>
      <c r="J55" s="201">
        <f t="shared" si="10"/>
        <v>0.04479545455</v>
      </c>
      <c r="K55" s="195">
        <f t="shared" si="6"/>
        <v>44.79545455</v>
      </c>
      <c r="L55" s="202">
        <f t="shared" si="7"/>
        <v>1</v>
      </c>
      <c r="M55" s="30">
        <f>1/COUTMAX*(E55/2-C55)*1000</f>
        <v>1.7071299</v>
      </c>
      <c r="N55" s="213">
        <f t="shared" si="8"/>
        <v>0.05171967929</v>
      </c>
      <c r="O55" s="30">
        <f t="shared" si="9"/>
        <v>51.95584221</v>
      </c>
      <c r="P55" s="30">
        <f>(A55-B55)*(I_Cout_ss*$Q$2+C55)</f>
        <v>82.6570217</v>
      </c>
      <c r="Q55" s="30">
        <f>(A55-B55)*(I_Cout_ss*$R$2+C55)</f>
        <v>35.42443787</v>
      </c>
      <c r="R55" s="30"/>
      <c r="S55" s="30"/>
      <c r="T55" s="30"/>
      <c r="U55" s="30"/>
      <c r="V55" s="30"/>
      <c r="W55" s="30"/>
      <c r="X55" s="30"/>
      <c r="Y55" s="30"/>
      <c r="Z55" s="30"/>
      <c r="AA55" s="30"/>
      <c r="AB55" s="30"/>
      <c r="AC55" s="30"/>
    </row>
    <row r="56" ht="12.75" customHeight="1">
      <c r="A56" s="30">
        <f>VINMAX</f>
        <v>58.4</v>
      </c>
      <c r="B56" s="216">
        <f>VINMAX*((ROW()-10)/104)</f>
        <v>25.83076923</v>
      </c>
      <c r="C56" s="196">
        <f t="shared" si="1"/>
        <v>0</v>
      </c>
      <c r="D56" s="205">
        <f t="shared" si="2"/>
        <v>314.4654088</v>
      </c>
      <c r="E56" s="44">
        <f t="shared" si="3"/>
        <v>9.655291248</v>
      </c>
      <c r="F56" s="196">
        <f>I_Cout_ss+C56</f>
        <v>1.568205128</v>
      </c>
      <c r="G56" s="196">
        <f t="shared" si="4"/>
        <v>1.568205128</v>
      </c>
      <c r="H56" s="196">
        <f t="shared" si="5"/>
        <v>1.568205128</v>
      </c>
      <c r="I56" s="201">
        <f>(COUTMAX/1000000)*(B56-B55)/H56</f>
        <v>0.0009954545455</v>
      </c>
      <c r="J56" s="201">
        <f t="shared" si="10"/>
        <v>0.04579090909</v>
      </c>
      <c r="K56" s="195">
        <f t="shared" si="6"/>
        <v>45.79090909</v>
      </c>
      <c r="L56" s="202">
        <f t="shared" si="7"/>
        <v>1</v>
      </c>
      <c r="M56" s="30">
        <f>1/COUTMAX*(E56/2-C56)*1000</f>
        <v>1.736563174</v>
      </c>
      <c r="N56" s="213">
        <f t="shared" si="8"/>
        <v>0.05084307456</v>
      </c>
      <c r="O56" s="30">
        <f t="shared" si="9"/>
        <v>51.07523471</v>
      </c>
      <c r="P56" s="30">
        <f>(A56-B56)*(I_Cout_ss*$Q$2+C56)</f>
        <v>81.25605523</v>
      </c>
      <c r="Q56" s="30">
        <f>(A56-B56)*(I_Cout_ss*$R$2+C56)</f>
        <v>34.82402367</v>
      </c>
      <c r="R56" s="30"/>
      <c r="S56" s="30"/>
      <c r="T56" s="30"/>
      <c r="U56" s="30"/>
      <c r="V56" s="30"/>
      <c r="W56" s="30"/>
      <c r="X56" s="30"/>
      <c r="Y56" s="30"/>
      <c r="Z56" s="30"/>
      <c r="AA56" s="30"/>
      <c r="AB56" s="30"/>
      <c r="AC56" s="30"/>
    </row>
    <row r="57" ht="12.75" customHeight="1">
      <c r="A57" s="30">
        <f>VINMAX</f>
        <v>58.4</v>
      </c>
      <c r="B57" s="216">
        <f>VINMAX*((ROW()-10)/104)</f>
        <v>26.39230769</v>
      </c>
      <c r="C57" s="196">
        <f t="shared" si="1"/>
        <v>0</v>
      </c>
      <c r="D57" s="205">
        <f t="shared" si="2"/>
        <v>314.4654088</v>
      </c>
      <c r="E57" s="44">
        <f t="shared" si="3"/>
        <v>9.824682323</v>
      </c>
      <c r="F57" s="196">
        <f>I_Cout_ss+C57</f>
        <v>1.568205128</v>
      </c>
      <c r="G57" s="196">
        <f t="shared" si="4"/>
        <v>1.568205128</v>
      </c>
      <c r="H57" s="196">
        <f t="shared" si="5"/>
        <v>1.568205128</v>
      </c>
      <c r="I57" s="201">
        <f>(COUTMAX/1000000)*(B57-B56)/H57</f>
        <v>0.0009954545455</v>
      </c>
      <c r="J57" s="201">
        <f t="shared" si="10"/>
        <v>0.04678636364</v>
      </c>
      <c r="K57" s="195">
        <f t="shared" si="6"/>
        <v>46.78636364</v>
      </c>
      <c r="L57" s="202">
        <f t="shared" si="7"/>
        <v>1</v>
      </c>
      <c r="M57" s="30">
        <f>1/COUTMAX*(E57/2-C57)*1000</f>
        <v>1.767029195</v>
      </c>
      <c r="N57" s="213">
        <f t="shared" si="8"/>
        <v>0.04996646982</v>
      </c>
      <c r="O57" s="30">
        <f t="shared" si="9"/>
        <v>50.19462722</v>
      </c>
      <c r="P57" s="30">
        <f>(A57-B57)*(I_Cout_ss*$Q$2+C57)</f>
        <v>79.85508876</v>
      </c>
      <c r="Q57" s="30">
        <f>(A57-B57)*(I_Cout_ss*$R$2+C57)</f>
        <v>34.22360947</v>
      </c>
      <c r="R57" s="30"/>
      <c r="S57" s="30"/>
      <c r="T57" s="30"/>
      <c r="U57" s="30"/>
      <c r="V57" s="30"/>
      <c r="W57" s="30"/>
      <c r="X57" s="30"/>
      <c r="Y57" s="30"/>
      <c r="Z57" s="30"/>
      <c r="AA57" s="30"/>
      <c r="AB57" s="30"/>
      <c r="AC57" s="30"/>
    </row>
    <row r="58" ht="12.75" customHeight="1">
      <c r="A58" s="30">
        <f>VINMAX</f>
        <v>58.4</v>
      </c>
      <c r="B58" s="216">
        <f>VINMAX*((ROW()-10)/104)</f>
        <v>26.95384615</v>
      </c>
      <c r="C58" s="196">
        <f t="shared" si="1"/>
        <v>0</v>
      </c>
      <c r="D58" s="205">
        <f t="shared" si="2"/>
        <v>314.4654088</v>
      </c>
      <c r="E58" s="44">
        <f t="shared" si="3"/>
        <v>10.00012308</v>
      </c>
      <c r="F58" s="196">
        <f>I_Cout_ss+C58</f>
        <v>1.568205128</v>
      </c>
      <c r="G58" s="196">
        <f t="shared" si="4"/>
        <v>1.568205128</v>
      </c>
      <c r="H58" s="196">
        <f t="shared" si="5"/>
        <v>1.568205128</v>
      </c>
      <c r="I58" s="201">
        <f>(COUTMAX/1000000)*(B58-B57)/H58</f>
        <v>0.0009954545455</v>
      </c>
      <c r="J58" s="201">
        <f t="shared" si="10"/>
        <v>0.04778181818</v>
      </c>
      <c r="K58" s="195">
        <f t="shared" si="6"/>
        <v>47.78181818</v>
      </c>
      <c r="L58" s="202">
        <f t="shared" si="7"/>
        <v>1</v>
      </c>
      <c r="M58" s="30">
        <f>1/COUTMAX*(E58/2-C58)*1000</f>
        <v>1.798583287</v>
      </c>
      <c r="N58" s="213">
        <f t="shared" si="8"/>
        <v>0.04908986509</v>
      </c>
      <c r="O58" s="30">
        <f t="shared" si="9"/>
        <v>49.31401972</v>
      </c>
      <c r="P58" s="30">
        <f>(A58-B58)*(I_Cout_ss*$Q$2+C58)</f>
        <v>78.45412229</v>
      </c>
      <c r="Q58" s="30">
        <f>(A58-B58)*(I_Cout_ss*$R$2+C58)</f>
        <v>33.62319527</v>
      </c>
      <c r="R58" s="30"/>
      <c r="S58" s="30"/>
      <c r="T58" s="30"/>
      <c r="U58" s="30"/>
      <c r="V58" s="30"/>
      <c r="W58" s="30"/>
      <c r="X58" s="30"/>
      <c r="Y58" s="30"/>
      <c r="Z58" s="30"/>
      <c r="AA58" s="30"/>
      <c r="AB58" s="30"/>
      <c r="AC58" s="30"/>
    </row>
    <row r="59" ht="12.75" customHeight="1">
      <c r="A59" s="30">
        <f>VINMAX</f>
        <v>58.4</v>
      </c>
      <c r="B59" s="216">
        <f>VINMAX*((ROW()-10)/104)</f>
        <v>27.51538462</v>
      </c>
      <c r="C59" s="196">
        <f t="shared" si="1"/>
        <v>0</v>
      </c>
      <c r="D59" s="205">
        <f t="shared" si="2"/>
        <v>314.4654088</v>
      </c>
      <c r="E59" s="44">
        <f t="shared" si="3"/>
        <v>10.1819435</v>
      </c>
      <c r="F59" s="196">
        <f>I_Cout_ss+C59</f>
        <v>1.568205128</v>
      </c>
      <c r="G59" s="196">
        <f t="shared" si="4"/>
        <v>1.568205128</v>
      </c>
      <c r="H59" s="196">
        <f t="shared" si="5"/>
        <v>1.568205128</v>
      </c>
      <c r="I59" s="201">
        <f>(COUTMAX/1000000)*(B59-B58)/H59</f>
        <v>0.0009954545455</v>
      </c>
      <c r="J59" s="201">
        <f t="shared" si="10"/>
        <v>0.04877727273</v>
      </c>
      <c r="K59" s="195">
        <f t="shared" si="6"/>
        <v>48.77727273</v>
      </c>
      <c r="L59" s="202">
        <f t="shared" si="7"/>
        <v>1</v>
      </c>
      <c r="M59" s="30">
        <f>1/COUTMAX*(E59/2-C59)*1000</f>
        <v>1.831284802</v>
      </c>
      <c r="N59" s="213">
        <f t="shared" si="8"/>
        <v>0.04821326036</v>
      </c>
      <c r="O59" s="30">
        <f t="shared" si="9"/>
        <v>48.43341223</v>
      </c>
      <c r="P59" s="30">
        <f>(A59-B59)*(I_Cout_ss*$Q$2+C59)</f>
        <v>77.05315582</v>
      </c>
      <c r="Q59" s="30">
        <f>(A59-B59)*(I_Cout_ss*$R$2+C59)</f>
        <v>33.02278107</v>
      </c>
      <c r="R59" s="30"/>
      <c r="S59" s="30"/>
      <c r="T59" s="30"/>
      <c r="U59" s="30"/>
      <c r="V59" s="30"/>
      <c r="W59" s="30"/>
      <c r="X59" s="30"/>
      <c r="Y59" s="30"/>
      <c r="Z59" s="30"/>
      <c r="AA59" s="30"/>
      <c r="AB59" s="30"/>
      <c r="AC59" s="30"/>
    </row>
    <row r="60" ht="12.75" customHeight="1">
      <c r="A60" s="30">
        <f>VINMAX</f>
        <v>58.4</v>
      </c>
      <c r="B60" s="216">
        <f>VINMAX*((ROW()-10)/104)</f>
        <v>28.07692308</v>
      </c>
      <c r="C60" s="196">
        <f t="shared" si="1"/>
        <v>0</v>
      </c>
      <c r="D60" s="205">
        <f t="shared" si="2"/>
        <v>314.4654088</v>
      </c>
      <c r="E60" s="44">
        <f t="shared" si="3"/>
        <v>10.37049801</v>
      </c>
      <c r="F60" s="196">
        <f>I_Cout_ss+C60</f>
        <v>1.568205128</v>
      </c>
      <c r="G60" s="196">
        <f t="shared" si="4"/>
        <v>1.568205128</v>
      </c>
      <c r="H60" s="196">
        <f t="shared" si="5"/>
        <v>1.568205128</v>
      </c>
      <c r="I60" s="201">
        <f>(COUTMAX/1000000)*(B60-B59)/H60</f>
        <v>0.0009954545455</v>
      </c>
      <c r="J60" s="201">
        <f t="shared" si="10"/>
        <v>0.04977272727</v>
      </c>
      <c r="K60" s="195">
        <f t="shared" si="6"/>
        <v>49.77272727</v>
      </c>
      <c r="L60" s="202">
        <f t="shared" si="7"/>
        <v>1</v>
      </c>
      <c r="M60" s="30">
        <f>1/COUTMAX*(E60/2-C60)*1000</f>
        <v>1.865197483</v>
      </c>
      <c r="N60" s="213">
        <f t="shared" si="8"/>
        <v>0.04733665562</v>
      </c>
      <c r="O60" s="30">
        <f t="shared" si="9"/>
        <v>47.55280473</v>
      </c>
      <c r="P60" s="30">
        <f>(A60-B60)*(I_Cout_ss*$Q$2+C60)</f>
        <v>75.65218935</v>
      </c>
      <c r="Q60" s="30">
        <f>(A60-B60)*(I_Cout_ss*$R$2+C60)</f>
        <v>32.42236686</v>
      </c>
      <c r="R60" s="30"/>
      <c r="S60" s="30"/>
      <c r="T60" s="30"/>
      <c r="U60" s="30"/>
      <c r="V60" s="30"/>
      <c r="W60" s="30"/>
      <c r="X60" s="30"/>
      <c r="Y60" s="30"/>
      <c r="Z60" s="30"/>
      <c r="AA60" s="30"/>
      <c r="AB60" s="30"/>
      <c r="AC60" s="30"/>
    </row>
    <row r="61" ht="12.75" customHeight="1">
      <c r="A61" s="30">
        <f>VINMAX</f>
        <v>58.4</v>
      </c>
      <c r="B61" s="216">
        <f>VINMAX*((ROW()-10)/104)</f>
        <v>28.63846154</v>
      </c>
      <c r="C61" s="196">
        <f t="shared" si="1"/>
        <v>0</v>
      </c>
      <c r="D61" s="205">
        <f t="shared" si="2"/>
        <v>314.4654088</v>
      </c>
      <c r="E61" s="44">
        <f t="shared" si="3"/>
        <v>10.56616778</v>
      </c>
      <c r="F61" s="196">
        <f>I_Cout_ss+C61</f>
        <v>1.568205128</v>
      </c>
      <c r="G61" s="196">
        <f t="shared" si="4"/>
        <v>1.568205128</v>
      </c>
      <c r="H61" s="196">
        <f t="shared" si="5"/>
        <v>1.568205128</v>
      </c>
      <c r="I61" s="201">
        <f>(COUTMAX/1000000)*(B61-B60)/H61</f>
        <v>0.0009954545455</v>
      </c>
      <c r="J61" s="201">
        <f t="shared" si="10"/>
        <v>0.05076818182</v>
      </c>
      <c r="K61" s="195">
        <f t="shared" si="6"/>
        <v>50.76818182</v>
      </c>
      <c r="L61" s="202">
        <f t="shared" si="7"/>
        <v>1</v>
      </c>
      <c r="M61" s="30">
        <f>1/COUTMAX*(E61/2-C61)*1000</f>
        <v>1.900389889</v>
      </c>
      <c r="N61" s="213">
        <f t="shared" si="8"/>
        <v>0.04646005089</v>
      </c>
      <c r="O61" s="30">
        <f t="shared" si="9"/>
        <v>46.67219724</v>
      </c>
      <c r="P61" s="30">
        <f>(A61-B61)*(I_Cout_ss*$Q$2+C61)</f>
        <v>74.25122288</v>
      </c>
      <c r="Q61" s="30">
        <f>(A61-B61)*(I_Cout_ss*$R$2+C61)</f>
        <v>31.82195266</v>
      </c>
      <c r="R61" s="30"/>
      <c r="S61" s="30"/>
      <c r="T61" s="30"/>
      <c r="U61" s="30"/>
      <c r="V61" s="30"/>
      <c r="W61" s="30"/>
      <c r="X61" s="30"/>
      <c r="Y61" s="30"/>
      <c r="Z61" s="30"/>
      <c r="AA61" s="30"/>
      <c r="AB61" s="30"/>
      <c r="AC61" s="30"/>
    </row>
    <row r="62" ht="12.75" customHeight="1">
      <c r="A62" s="30">
        <f>VINMAX</f>
        <v>58.4</v>
      </c>
      <c r="B62" s="216">
        <f>VINMAX*((ROW()-10)/104)</f>
        <v>29.2</v>
      </c>
      <c r="C62" s="196">
        <f t="shared" si="1"/>
        <v>0</v>
      </c>
      <c r="D62" s="205">
        <f t="shared" si="2"/>
        <v>314.4654088</v>
      </c>
      <c r="E62" s="44">
        <f t="shared" si="3"/>
        <v>10.76936332</v>
      </c>
      <c r="F62" s="196">
        <f>I_Cout_ss+C62</f>
        <v>1.568205128</v>
      </c>
      <c r="G62" s="196">
        <f t="shared" si="4"/>
        <v>1.568205128</v>
      </c>
      <c r="H62" s="196">
        <f t="shared" si="5"/>
        <v>1.568205128</v>
      </c>
      <c r="I62" s="201">
        <f>(COUTMAX/1000000)*(B62-B61)/H62</f>
        <v>0.0009954545455</v>
      </c>
      <c r="J62" s="201">
        <f t="shared" si="10"/>
        <v>0.05176363636</v>
      </c>
      <c r="K62" s="195">
        <f t="shared" si="6"/>
        <v>51.76363636</v>
      </c>
      <c r="L62" s="202">
        <f t="shared" si="7"/>
        <v>1</v>
      </c>
      <c r="M62" s="30">
        <f>1/COUTMAX*(E62/2-C62)*1000</f>
        <v>1.936935848</v>
      </c>
      <c r="N62" s="213">
        <f t="shared" si="8"/>
        <v>0.04558344615</v>
      </c>
      <c r="O62" s="30">
        <f t="shared" si="9"/>
        <v>45.79158974</v>
      </c>
      <c r="P62" s="30">
        <f>(A62-B62)*(I_Cout_ss*$Q$2+C62)</f>
        <v>72.85025641</v>
      </c>
      <c r="Q62" s="30">
        <f>(A62-B62)*(I_Cout_ss*$R$2+C62)</f>
        <v>31.22153846</v>
      </c>
      <c r="R62" s="30"/>
      <c r="S62" s="30"/>
      <c r="T62" s="30"/>
      <c r="U62" s="30"/>
      <c r="V62" s="30"/>
      <c r="W62" s="30"/>
      <c r="X62" s="30"/>
      <c r="Y62" s="30"/>
      <c r="Z62" s="30"/>
      <c r="AA62" s="30"/>
      <c r="AB62" s="30"/>
      <c r="AC62" s="30"/>
    </row>
    <row r="63" ht="12.75" customHeight="1">
      <c r="A63" s="30">
        <f>VINMAX</f>
        <v>58.4</v>
      </c>
      <c r="B63" s="216">
        <f>VINMAX*((ROW()-10)/104)</f>
        <v>29.76153846</v>
      </c>
      <c r="C63" s="196">
        <f t="shared" si="1"/>
        <v>0</v>
      </c>
      <c r="D63" s="205">
        <f t="shared" si="2"/>
        <v>314.4654088</v>
      </c>
      <c r="E63" s="44">
        <f t="shared" si="3"/>
        <v>10.9805273</v>
      </c>
      <c r="F63" s="196">
        <f>I_Cout_ss+C63</f>
        <v>1.568205128</v>
      </c>
      <c r="G63" s="196">
        <f t="shared" si="4"/>
        <v>1.568205128</v>
      </c>
      <c r="H63" s="196">
        <f t="shared" si="5"/>
        <v>1.568205128</v>
      </c>
      <c r="I63" s="201">
        <f>(COUTMAX/1000000)*(B63-B62)/H63</f>
        <v>0.0009954545455</v>
      </c>
      <c r="J63" s="201">
        <f t="shared" si="10"/>
        <v>0.05275909091</v>
      </c>
      <c r="K63" s="195">
        <f t="shared" si="6"/>
        <v>52.75909091</v>
      </c>
      <c r="L63" s="202">
        <f t="shared" si="7"/>
        <v>1</v>
      </c>
      <c r="M63" s="30">
        <f>1/COUTMAX*(E63/2-C63)*1000</f>
        <v>1.974914982</v>
      </c>
      <c r="N63" s="213">
        <f t="shared" si="8"/>
        <v>0.04470684142</v>
      </c>
      <c r="O63" s="30">
        <f t="shared" si="9"/>
        <v>44.91098225</v>
      </c>
      <c r="P63" s="30">
        <f>(A63-B63)*(I_Cout_ss*$Q$2+C63)</f>
        <v>71.44928994</v>
      </c>
      <c r="Q63" s="30">
        <f>(A63-B63)*(I_Cout_ss*$R$2+C63)</f>
        <v>30.62112426</v>
      </c>
      <c r="R63" s="30"/>
      <c r="S63" s="30"/>
      <c r="T63" s="30"/>
      <c r="U63" s="30"/>
      <c r="V63" s="30"/>
      <c r="W63" s="30"/>
      <c r="X63" s="30"/>
      <c r="Y63" s="30"/>
      <c r="Z63" s="30"/>
      <c r="AA63" s="30"/>
      <c r="AB63" s="30"/>
      <c r="AC63" s="30"/>
    </row>
    <row r="64" ht="12.75" customHeight="1">
      <c r="A64" s="30">
        <f>VINMAX</f>
        <v>58.4</v>
      </c>
      <c r="B64" s="216">
        <f>VINMAX*((ROW()-10)/104)</f>
        <v>30.32307692</v>
      </c>
      <c r="C64" s="196">
        <f t="shared" si="1"/>
        <v>0</v>
      </c>
      <c r="D64" s="205">
        <f t="shared" si="2"/>
        <v>314.4654088</v>
      </c>
      <c r="E64" s="44">
        <f t="shared" si="3"/>
        <v>11.20013785</v>
      </c>
      <c r="F64" s="196">
        <f>I_Cout_ss+C64</f>
        <v>1.568205128</v>
      </c>
      <c r="G64" s="196">
        <f t="shared" si="4"/>
        <v>1.568205128</v>
      </c>
      <c r="H64" s="196">
        <f t="shared" si="5"/>
        <v>1.568205128</v>
      </c>
      <c r="I64" s="201">
        <f>(COUTMAX/1000000)*(B64-B63)/H64</f>
        <v>0.0009954545455</v>
      </c>
      <c r="J64" s="201">
        <f t="shared" si="10"/>
        <v>0.05375454545</v>
      </c>
      <c r="K64" s="195">
        <f t="shared" si="6"/>
        <v>53.75454545</v>
      </c>
      <c r="L64" s="202">
        <f t="shared" si="7"/>
        <v>1</v>
      </c>
      <c r="M64" s="30">
        <f>1/COUTMAX*(E64/2-C64)*1000</f>
        <v>2.014413282</v>
      </c>
      <c r="N64" s="213">
        <f t="shared" si="8"/>
        <v>0.04383023669</v>
      </c>
      <c r="O64" s="30">
        <f t="shared" si="9"/>
        <v>44.03037475</v>
      </c>
      <c r="P64" s="30">
        <f>(A64-B64)*(I_Cout_ss*$Q$2+C64)</f>
        <v>70.04832347</v>
      </c>
      <c r="Q64" s="30">
        <f>(A64-B64)*(I_Cout_ss*$R$2+C64)</f>
        <v>30.02071006</v>
      </c>
      <c r="R64" s="30"/>
      <c r="S64" s="30"/>
      <c r="T64" s="30"/>
      <c r="U64" s="30"/>
      <c r="V64" s="30"/>
      <c r="W64" s="30"/>
      <c r="X64" s="30"/>
      <c r="Y64" s="30"/>
      <c r="Z64" s="30"/>
      <c r="AA64" s="30"/>
      <c r="AB64" s="30"/>
      <c r="AC64" s="30"/>
    </row>
    <row r="65" ht="12.75" customHeight="1">
      <c r="A65" s="30">
        <f>VINMAX</f>
        <v>58.4</v>
      </c>
      <c r="B65" s="216">
        <f>VINMAX*((ROW()-10)/104)</f>
        <v>30.88461538</v>
      </c>
      <c r="C65" s="196">
        <f t="shared" si="1"/>
        <v>0</v>
      </c>
      <c r="D65" s="205">
        <f t="shared" si="2"/>
        <v>314.4654088</v>
      </c>
      <c r="E65" s="44">
        <f t="shared" si="3"/>
        <v>11.42871209</v>
      </c>
      <c r="F65" s="196">
        <f>I_Cout_ss+C65</f>
        <v>1.568205128</v>
      </c>
      <c r="G65" s="196">
        <f t="shared" si="4"/>
        <v>1.568205128</v>
      </c>
      <c r="H65" s="196">
        <f t="shared" si="5"/>
        <v>1.568205128</v>
      </c>
      <c r="I65" s="201">
        <f>(COUTMAX/1000000)*(B65-B64)/H65</f>
        <v>0.0009954545455</v>
      </c>
      <c r="J65" s="201">
        <f t="shared" si="10"/>
        <v>0.05475</v>
      </c>
      <c r="K65" s="195">
        <f t="shared" si="6"/>
        <v>54.75</v>
      </c>
      <c r="L65" s="202">
        <f t="shared" si="7"/>
        <v>1</v>
      </c>
      <c r="M65" s="30">
        <f>1/COUTMAX*(E65/2-C65)*1000</f>
        <v>2.055523757</v>
      </c>
      <c r="N65" s="213">
        <f t="shared" si="8"/>
        <v>0.04295363195</v>
      </c>
      <c r="O65" s="30">
        <f t="shared" si="9"/>
        <v>43.14976726</v>
      </c>
      <c r="P65" s="30">
        <f>(A65-B65)*(I_Cout_ss*$Q$2+C65)</f>
        <v>68.647357</v>
      </c>
      <c r="Q65" s="30">
        <f>(A65-B65)*(I_Cout_ss*$R$2+C65)</f>
        <v>29.42029586</v>
      </c>
      <c r="R65" s="30"/>
      <c r="S65" s="30"/>
      <c r="T65" s="30"/>
      <c r="U65" s="30"/>
      <c r="V65" s="30"/>
      <c r="W65" s="30"/>
      <c r="X65" s="30"/>
      <c r="Y65" s="30"/>
      <c r="Z65" s="30"/>
      <c r="AA65" s="30"/>
      <c r="AB65" s="30"/>
      <c r="AC65" s="30"/>
    </row>
    <row r="66" ht="12.75" customHeight="1">
      <c r="A66" s="30">
        <f>VINMAX</f>
        <v>58.4</v>
      </c>
      <c r="B66" s="216">
        <f>VINMAX*((ROW()-10)/104)</f>
        <v>31.44615385</v>
      </c>
      <c r="C66" s="196">
        <f t="shared" si="1"/>
        <v>0</v>
      </c>
      <c r="D66" s="205">
        <f t="shared" si="2"/>
        <v>314.4654088</v>
      </c>
      <c r="E66" s="44">
        <f t="shared" si="3"/>
        <v>11.66681026</v>
      </c>
      <c r="F66" s="196">
        <f>I_Cout_ss+C66</f>
        <v>1.568205128</v>
      </c>
      <c r="G66" s="196">
        <f t="shared" si="4"/>
        <v>1.568205128</v>
      </c>
      <c r="H66" s="196">
        <f t="shared" si="5"/>
        <v>1.568205128</v>
      </c>
      <c r="I66" s="201">
        <f>(COUTMAX/1000000)*(B66-B65)/H66</f>
        <v>0.0009954545455</v>
      </c>
      <c r="J66" s="201">
        <f t="shared" si="10"/>
        <v>0.05574545455</v>
      </c>
      <c r="K66" s="195">
        <f t="shared" si="6"/>
        <v>55.74545455</v>
      </c>
      <c r="L66" s="202">
        <f t="shared" si="7"/>
        <v>1</v>
      </c>
      <c r="M66" s="30">
        <f>1/COUTMAX*(E66/2-C66)*1000</f>
        <v>2.098347169</v>
      </c>
      <c r="N66" s="213">
        <f t="shared" si="8"/>
        <v>0.04207702722</v>
      </c>
      <c r="O66" s="30">
        <f t="shared" si="9"/>
        <v>42.26915976</v>
      </c>
      <c r="P66" s="30">
        <f>(A66-B66)*(I_Cout_ss*$Q$2+C66)</f>
        <v>67.24639053</v>
      </c>
      <c r="Q66" s="30">
        <f>(A66-B66)*(I_Cout_ss*$R$2+C66)</f>
        <v>28.81988166</v>
      </c>
      <c r="R66" s="30"/>
      <c r="S66" s="30"/>
      <c r="T66" s="30"/>
      <c r="U66" s="30"/>
      <c r="V66" s="30"/>
      <c r="W66" s="30"/>
      <c r="X66" s="30"/>
      <c r="Y66" s="30"/>
      <c r="Z66" s="30"/>
      <c r="AA66" s="30"/>
      <c r="AB66" s="30"/>
      <c r="AC66" s="30"/>
    </row>
    <row r="67" ht="12.75" customHeight="1">
      <c r="A67" s="30">
        <f>VINMAX</f>
        <v>58.4</v>
      </c>
      <c r="B67" s="216">
        <f>VINMAX*((ROW()-10)/104)</f>
        <v>32.00769231</v>
      </c>
      <c r="C67" s="196">
        <f t="shared" si="1"/>
        <v>0</v>
      </c>
      <c r="D67" s="205">
        <f t="shared" si="2"/>
        <v>314.4654088</v>
      </c>
      <c r="E67" s="44">
        <f t="shared" si="3"/>
        <v>11.91504026</v>
      </c>
      <c r="F67" s="196">
        <f>I_Cout_ss+C67</f>
        <v>1.568205128</v>
      </c>
      <c r="G67" s="196">
        <f t="shared" si="4"/>
        <v>1.568205128</v>
      </c>
      <c r="H67" s="196">
        <f t="shared" si="5"/>
        <v>1.568205128</v>
      </c>
      <c r="I67" s="201">
        <f>(COUTMAX/1000000)*(B67-B66)/H67</f>
        <v>0.0009954545455</v>
      </c>
      <c r="J67" s="201">
        <f t="shared" si="10"/>
        <v>0.05674090909</v>
      </c>
      <c r="K67" s="195">
        <f t="shared" si="6"/>
        <v>56.74090909</v>
      </c>
      <c r="L67" s="202">
        <f t="shared" si="7"/>
        <v>1</v>
      </c>
      <c r="M67" s="30">
        <f>1/COUTMAX*(E67/2-C67)*1000</f>
        <v>2.142992853</v>
      </c>
      <c r="N67" s="213">
        <f t="shared" si="8"/>
        <v>0.04120042249</v>
      </c>
      <c r="O67" s="30">
        <f t="shared" si="9"/>
        <v>41.38855227</v>
      </c>
      <c r="P67" s="30">
        <f>(A67-B67)*(I_Cout_ss*$Q$2+C67)</f>
        <v>65.84542406</v>
      </c>
      <c r="Q67" s="30">
        <f>(A67-B67)*(I_Cout_ss*$R$2+C67)</f>
        <v>28.21946746</v>
      </c>
      <c r="R67" s="30"/>
      <c r="S67" s="30"/>
      <c r="T67" s="30"/>
      <c r="U67" s="30"/>
      <c r="V67" s="30"/>
      <c r="W67" s="30"/>
      <c r="X67" s="30"/>
      <c r="Y67" s="30"/>
      <c r="Z67" s="30"/>
      <c r="AA67" s="30"/>
      <c r="AB67" s="30"/>
      <c r="AC67" s="30"/>
    </row>
    <row r="68" ht="12.75" customHeight="1">
      <c r="A68" s="30">
        <f>VINMAX</f>
        <v>58.4</v>
      </c>
      <c r="B68" s="216">
        <f>VINMAX*((ROW()-10)/104)</f>
        <v>32.56923077</v>
      </c>
      <c r="C68" s="196">
        <f t="shared" si="1"/>
        <v>0</v>
      </c>
      <c r="D68" s="205">
        <f t="shared" si="2"/>
        <v>314.4654088</v>
      </c>
      <c r="E68" s="44">
        <f t="shared" si="3"/>
        <v>12.17406288</v>
      </c>
      <c r="F68" s="196">
        <f>I_Cout_ss+C68</f>
        <v>1.568205128</v>
      </c>
      <c r="G68" s="196">
        <f t="shared" si="4"/>
        <v>1.568205128</v>
      </c>
      <c r="H68" s="196">
        <f t="shared" si="5"/>
        <v>1.568205128</v>
      </c>
      <c r="I68" s="201">
        <f>(COUTMAX/1000000)*(B68-B67)/H68</f>
        <v>0.0009954545455</v>
      </c>
      <c r="J68" s="201">
        <f t="shared" si="10"/>
        <v>0.05773636364</v>
      </c>
      <c r="K68" s="195">
        <f t="shared" si="6"/>
        <v>57.73636364</v>
      </c>
      <c r="L68" s="202">
        <f t="shared" si="7"/>
        <v>1</v>
      </c>
      <c r="M68" s="30">
        <f>1/COUTMAX*(E68/2-C68)*1000</f>
        <v>2.189579654</v>
      </c>
      <c r="N68" s="213">
        <f t="shared" si="8"/>
        <v>0.04032381775</v>
      </c>
      <c r="O68" s="30">
        <f t="shared" si="9"/>
        <v>40.50794477</v>
      </c>
      <c r="P68" s="30">
        <f>(A68-B68)*(I_Cout_ss*$Q$2+C68)</f>
        <v>64.44445759</v>
      </c>
      <c r="Q68" s="30">
        <f>(A68-B68)*(I_Cout_ss*$R$2+C68)</f>
        <v>27.61905325</v>
      </c>
      <c r="R68" s="30"/>
      <c r="S68" s="30"/>
      <c r="T68" s="30"/>
      <c r="U68" s="30"/>
      <c r="V68" s="30"/>
      <c r="W68" s="30"/>
      <c r="X68" s="30"/>
      <c r="Y68" s="30"/>
      <c r="Z68" s="30"/>
      <c r="AA68" s="30"/>
      <c r="AB68" s="30"/>
      <c r="AC68" s="30"/>
    </row>
    <row r="69" ht="12.75" customHeight="1">
      <c r="A69" s="30">
        <f>VINMAX</f>
        <v>58.4</v>
      </c>
      <c r="B69" s="216">
        <f>VINMAX*((ROW()-10)/104)</f>
        <v>33.13076923</v>
      </c>
      <c r="C69" s="196">
        <f t="shared" si="1"/>
        <v>0</v>
      </c>
      <c r="D69" s="205">
        <f t="shared" si="2"/>
        <v>314.4654088</v>
      </c>
      <c r="E69" s="44">
        <f t="shared" si="3"/>
        <v>12.44459761</v>
      </c>
      <c r="F69" s="196">
        <f>I_Cout_ss+C69</f>
        <v>1.568205128</v>
      </c>
      <c r="G69" s="196">
        <f t="shared" si="4"/>
        <v>1.568205128</v>
      </c>
      <c r="H69" s="196">
        <f t="shared" si="5"/>
        <v>1.568205128</v>
      </c>
      <c r="I69" s="201">
        <f>(COUTMAX/1000000)*(B69-B68)/H69</f>
        <v>0.0009954545455</v>
      </c>
      <c r="J69" s="201">
        <f t="shared" si="10"/>
        <v>0.05873181818</v>
      </c>
      <c r="K69" s="195">
        <f t="shared" si="6"/>
        <v>58.73181818</v>
      </c>
      <c r="L69" s="202">
        <f t="shared" si="7"/>
        <v>1</v>
      </c>
      <c r="M69" s="30">
        <f>1/COUTMAX*(E69/2-C69)*1000</f>
        <v>2.23823698</v>
      </c>
      <c r="N69" s="213">
        <f t="shared" si="8"/>
        <v>0.03944721302</v>
      </c>
      <c r="O69" s="30">
        <f t="shared" si="9"/>
        <v>39.62733728</v>
      </c>
      <c r="P69" s="30">
        <f>(A69-B69)*(I_Cout_ss*$Q$2+C69)</f>
        <v>63.04349112</v>
      </c>
      <c r="Q69" s="30">
        <f>(A69-B69)*(I_Cout_ss*$R$2+C69)</f>
        <v>27.01863905</v>
      </c>
      <c r="R69" s="30"/>
      <c r="S69" s="30"/>
      <c r="T69" s="30"/>
      <c r="U69" s="30"/>
      <c r="V69" s="30"/>
      <c r="W69" s="30"/>
      <c r="X69" s="30"/>
      <c r="Y69" s="30"/>
      <c r="Z69" s="30"/>
      <c r="AA69" s="30"/>
      <c r="AB69" s="30"/>
      <c r="AC69" s="30"/>
    </row>
    <row r="70" ht="12.75" customHeight="1">
      <c r="A70" s="30">
        <f>VINMAX</f>
        <v>58.4</v>
      </c>
      <c r="B70" s="216">
        <f>VINMAX*((ROW()-10)/104)</f>
        <v>33.69230769</v>
      </c>
      <c r="C70" s="196">
        <f t="shared" si="1"/>
        <v>0</v>
      </c>
      <c r="D70" s="205">
        <f t="shared" si="2"/>
        <v>314.4654088</v>
      </c>
      <c r="E70" s="44">
        <f t="shared" si="3"/>
        <v>12.72742937</v>
      </c>
      <c r="F70" s="196">
        <f>I_Cout_ss+C70</f>
        <v>1.568205128</v>
      </c>
      <c r="G70" s="196">
        <f t="shared" si="4"/>
        <v>1.568205128</v>
      </c>
      <c r="H70" s="196">
        <f t="shared" si="5"/>
        <v>1.568205128</v>
      </c>
      <c r="I70" s="201">
        <f>(COUTMAX/1000000)*(B70-B69)/H70</f>
        <v>0.0009954545455</v>
      </c>
      <c r="J70" s="201">
        <f t="shared" si="10"/>
        <v>0.05972727273</v>
      </c>
      <c r="K70" s="195">
        <f t="shared" si="6"/>
        <v>59.72727273</v>
      </c>
      <c r="L70" s="202">
        <f t="shared" si="7"/>
        <v>1</v>
      </c>
      <c r="M70" s="30">
        <f>1/COUTMAX*(E70/2-C70)*1000</f>
        <v>2.289106002</v>
      </c>
      <c r="N70" s="213">
        <f t="shared" si="8"/>
        <v>0.03857060828</v>
      </c>
      <c r="O70" s="30">
        <f t="shared" si="9"/>
        <v>38.74672978</v>
      </c>
      <c r="P70" s="30">
        <f>(A70-B70)*(I_Cout_ss*$Q$2+C70)</f>
        <v>61.64252465</v>
      </c>
      <c r="Q70" s="30">
        <f>(A70-B70)*(I_Cout_ss*$R$2+C70)</f>
        <v>26.41822485</v>
      </c>
      <c r="R70" s="30"/>
      <c r="S70" s="30"/>
      <c r="T70" s="30"/>
      <c r="U70" s="30"/>
      <c r="V70" s="30"/>
      <c r="W70" s="30"/>
      <c r="X70" s="30"/>
      <c r="Y70" s="30"/>
      <c r="Z70" s="30"/>
      <c r="AA70" s="30"/>
      <c r="AB70" s="30"/>
      <c r="AC70" s="30"/>
    </row>
    <row r="71" ht="12.75" customHeight="1">
      <c r="A71" s="30">
        <f>VINMAX</f>
        <v>58.4</v>
      </c>
      <c r="B71" s="216">
        <f>VINMAX*((ROW()-10)/104)</f>
        <v>34.25384615</v>
      </c>
      <c r="C71" s="196">
        <f t="shared" si="1"/>
        <v>0</v>
      </c>
      <c r="D71" s="205">
        <f t="shared" si="2"/>
        <v>314.4654088</v>
      </c>
      <c r="E71" s="44">
        <f t="shared" si="3"/>
        <v>13.0234161</v>
      </c>
      <c r="F71" s="196">
        <f>I_Cout_ss+C71</f>
        <v>1.568205128</v>
      </c>
      <c r="G71" s="196">
        <f t="shared" si="4"/>
        <v>1.568205128</v>
      </c>
      <c r="H71" s="196">
        <f t="shared" si="5"/>
        <v>1.568205128</v>
      </c>
      <c r="I71" s="201">
        <f>(COUTMAX/1000000)*(B71-B70)/H71</f>
        <v>0.0009954545455</v>
      </c>
      <c r="J71" s="201">
        <f t="shared" si="10"/>
        <v>0.06072272727</v>
      </c>
      <c r="K71" s="195">
        <f t="shared" si="6"/>
        <v>60.72272727</v>
      </c>
      <c r="L71" s="202">
        <f t="shared" si="7"/>
        <v>1</v>
      </c>
      <c r="M71" s="30">
        <f>1/COUTMAX*(E71/2-C71)*1000</f>
        <v>2.342341026</v>
      </c>
      <c r="N71" s="213">
        <f t="shared" si="8"/>
        <v>0.03769400355</v>
      </c>
      <c r="O71" s="30">
        <f t="shared" si="9"/>
        <v>37.86612229</v>
      </c>
      <c r="P71" s="30">
        <f>(A71-B71)*(I_Cout_ss*$Q$2+C71)</f>
        <v>60.24155819</v>
      </c>
      <c r="Q71" s="30">
        <f>(A71-B71)*(I_Cout_ss*$R$2+C71)</f>
        <v>25.81781065</v>
      </c>
      <c r="R71" s="30"/>
      <c r="S71" s="30"/>
      <c r="T71" s="30"/>
      <c r="U71" s="30"/>
      <c r="V71" s="30"/>
      <c r="W71" s="30"/>
      <c r="X71" s="30"/>
      <c r="Y71" s="30"/>
      <c r="Z71" s="30"/>
      <c r="AA71" s="30"/>
      <c r="AB71" s="30"/>
      <c r="AC71" s="30"/>
    </row>
    <row r="72" ht="12.75" customHeight="1">
      <c r="A72" s="30">
        <f>VINMAX</f>
        <v>58.4</v>
      </c>
      <c r="B72" s="216">
        <f>VINMAX*((ROW()-10)/104)</f>
        <v>34.81538462</v>
      </c>
      <c r="C72" s="196">
        <f t="shared" si="1"/>
        <v>0</v>
      </c>
      <c r="D72" s="205">
        <f t="shared" si="2"/>
        <v>314.4654088</v>
      </c>
      <c r="E72" s="44">
        <f t="shared" si="3"/>
        <v>13.33349744</v>
      </c>
      <c r="F72" s="196">
        <f>I_Cout_ss+C72</f>
        <v>1.568205128</v>
      </c>
      <c r="G72" s="196">
        <f t="shared" si="4"/>
        <v>1.568205128</v>
      </c>
      <c r="H72" s="196">
        <f t="shared" si="5"/>
        <v>1.568205128</v>
      </c>
      <c r="I72" s="201">
        <f>(COUTMAX/1000000)*(B72-B71)/H72</f>
        <v>0.0009954545455</v>
      </c>
      <c r="J72" s="201">
        <f t="shared" si="10"/>
        <v>0.06171818182</v>
      </c>
      <c r="K72" s="195">
        <f t="shared" si="6"/>
        <v>61.71818182</v>
      </c>
      <c r="L72" s="202">
        <f t="shared" si="7"/>
        <v>1</v>
      </c>
      <c r="M72" s="30">
        <f>1/COUTMAX*(E72/2-C72)*1000</f>
        <v>2.39811105</v>
      </c>
      <c r="N72" s="213">
        <f t="shared" si="8"/>
        <v>0.03681739882</v>
      </c>
      <c r="O72" s="30">
        <f t="shared" si="9"/>
        <v>36.98551479</v>
      </c>
      <c r="P72" s="30">
        <f>(A72-B72)*(I_Cout_ss*$Q$2+C72)</f>
        <v>58.84059172</v>
      </c>
      <c r="Q72" s="30">
        <f>(A72-B72)*(I_Cout_ss*$R$2+C72)</f>
        <v>25.21739645</v>
      </c>
      <c r="R72" s="30"/>
      <c r="S72" s="30"/>
      <c r="T72" s="30"/>
      <c r="U72" s="30"/>
      <c r="V72" s="30"/>
      <c r="W72" s="30"/>
      <c r="X72" s="30"/>
      <c r="Y72" s="30"/>
      <c r="Z72" s="30"/>
      <c r="AA72" s="30"/>
      <c r="AB72" s="30"/>
      <c r="AC72" s="30"/>
    </row>
    <row r="73" ht="12.75" customHeight="1">
      <c r="A73" s="30">
        <f>VINMAX</f>
        <v>58.4</v>
      </c>
      <c r="B73" s="216">
        <f>VINMAX*((ROW()-10)/104)</f>
        <v>35.37692308</v>
      </c>
      <c r="C73" s="196">
        <f t="shared" si="1"/>
        <v>0</v>
      </c>
      <c r="D73" s="205">
        <f t="shared" si="2"/>
        <v>314.4654088</v>
      </c>
      <c r="E73" s="44">
        <f t="shared" si="3"/>
        <v>13.65870469</v>
      </c>
      <c r="F73" s="196">
        <f>I_Cout_ss+C73</f>
        <v>1.568205128</v>
      </c>
      <c r="G73" s="196">
        <f t="shared" si="4"/>
        <v>1.568205128</v>
      </c>
      <c r="H73" s="196">
        <f t="shared" si="5"/>
        <v>1.568205128</v>
      </c>
      <c r="I73" s="201">
        <f>(COUTMAX/1000000)*(B73-B72)/H73</f>
        <v>0.0009954545455</v>
      </c>
      <c r="J73" s="201">
        <f t="shared" si="10"/>
        <v>0.06271363636</v>
      </c>
      <c r="K73" s="195">
        <f t="shared" si="6"/>
        <v>62.71363636</v>
      </c>
      <c r="L73" s="202">
        <f t="shared" si="7"/>
        <v>1</v>
      </c>
      <c r="M73" s="30">
        <f>1/COUTMAX*(E73/2-C73)*1000</f>
        <v>2.456601563</v>
      </c>
      <c r="N73" s="213">
        <f t="shared" si="8"/>
        <v>0.03594079408</v>
      </c>
      <c r="O73" s="30">
        <f t="shared" si="9"/>
        <v>36.1049073</v>
      </c>
      <c r="P73" s="30">
        <f>(A73-B73)*(I_Cout_ss*$Q$2+C73)</f>
        <v>57.43962525</v>
      </c>
      <c r="Q73" s="30">
        <f>(A73-B73)*(I_Cout_ss*$R$2+C73)</f>
        <v>24.61698225</v>
      </c>
      <c r="R73" s="30"/>
      <c r="S73" s="30"/>
      <c r="T73" s="30"/>
      <c r="U73" s="30"/>
      <c r="V73" s="30"/>
      <c r="W73" s="30"/>
      <c r="X73" s="30"/>
      <c r="Y73" s="30"/>
      <c r="Z73" s="30"/>
      <c r="AA73" s="30"/>
      <c r="AB73" s="30"/>
      <c r="AC73" s="30"/>
    </row>
    <row r="74" ht="12.75" customHeight="1">
      <c r="A74" s="30">
        <f>VINMAX</f>
        <v>58.4</v>
      </c>
      <c r="B74" s="216">
        <f>VINMAX*((ROW()-10)/104)</f>
        <v>35.93846154</v>
      </c>
      <c r="C74" s="196">
        <f t="shared" si="1"/>
        <v>0</v>
      </c>
      <c r="D74" s="205">
        <f t="shared" si="2"/>
        <v>314.4654088</v>
      </c>
      <c r="E74" s="44">
        <f t="shared" si="3"/>
        <v>14.00017231</v>
      </c>
      <c r="F74" s="196">
        <f>I_Cout_ss+C74</f>
        <v>1.568205128</v>
      </c>
      <c r="G74" s="196">
        <f t="shared" si="4"/>
        <v>1.568205128</v>
      </c>
      <c r="H74" s="196">
        <f t="shared" si="5"/>
        <v>1.568205128</v>
      </c>
      <c r="I74" s="201">
        <f>(COUTMAX/1000000)*(B74-B73)/H74</f>
        <v>0.0009954545455</v>
      </c>
      <c r="J74" s="201">
        <f t="shared" si="10"/>
        <v>0.06370909091</v>
      </c>
      <c r="K74" s="195">
        <f t="shared" si="6"/>
        <v>63.70909091</v>
      </c>
      <c r="L74" s="202">
        <f t="shared" si="7"/>
        <v>1</v>
      </c>
      <c r="M74" s="30">
        <f>1/COUTMAX*(E74/2-C74)*1000</f>
        <v>2.518016602</v>
      </c>
      <c r="N74" s="213">
        <f t="shared" si="8"/>
        <v>0.03506418935</v>
      </c>
      <c r="O74" s="30">
        <f t="shared" si="9"/>
        <v>35.2242998</v>
      </c>
      <c r="P74" s="30">
        <f>(A74-B74)*(I_Cout_ss*$Q$2+C74)</f>
        <v>56.03865878</v>
      </c>
      <c r="Q74" s="30">
        <f>(A74-B74)*(I_Cout_ss*$R$2+C74)</f>
        <v>24.01656805</v>
      </c>
      <c r="R74" s="30"/>
      <c r="S74" s="30"/>
      <c r="T74" s="30"/>
      <c r="U74" s="30"/>
      <c r="V74" s="30"/>
      <c r="W74" s="30"/>
      <c r="X74" s="30"/>
      <c r="Y74" s="30"/>
      <c r="Z74" s="30"/>
      <c r="AA74" s="30"/>
      <c r="AB74" s="30"/>
      <c r="AC74" s="30"/>
    </row>
    <row r="75" ht="12.75" customHeight="1">
      <c r="A75" s="30">
        <f>VINMAX</f>
        <v>58.4</v>
      </c>
      <c r="B75" s="216">
        <f>VINMAX*((ROW()-10)/104)</f>
        <v>36.5</v>
      </c>
      <c r="C75" s="196">
        <f t="shared" si="1"/>
        <v>0</v>
      </c>
      <c r="D75" s="205">
        <f t="shared" si="2"/>
        <v>314.4654088</v>
      </c>
      <c r="E75" s="44">
        <f t="shared" si="3"/>
        <v>14.35915109</v>
      </c>
      <c r="F75" s="196">
        <f>I_Cout_ss+C75</f>
        <v>1.568205128</v>
      </c>
      <c r="G75" s="196">
        <f t="shared" si="4"/>
        <v>1.568205128</v>
      </c>
      <c r="H75" s="196">
        <f t="shared" si="5"/>
        <v>1.568205128</v>
      </c>
      <c r="I75" s="201">
        <f>(COUTMAX/1000000)*(B75-B74)/H75</f>
        <v>0.0009954545455</v>
      </c>
      <c r="J75" s="201">
        <f t="shared" si="10"/>
        <v>0.06470454545</v>
      </c>
      <c r="K75" s="195">
        <f t="shared" si="6"/>
        <v>64.70454545</v>
      </c>
      <c r="L75" s="202">
        <f t="shared" si="7"/>
        <v>1</v>
      </c>
      <c r="M75" s="30">
        <f>1/COUTMAX*(E75/2-C75)*1000</f>
        <v>2.582581131</v>
      </c>
      <c r="N75" s="213">
        <f t="shared" si="8"/>
        <v>0.03418758462</v>
      </c>
      <c r="O75" s="30">
        <f t="shared" si="9"/>
        <v>34.34369231</v>
      </c>
      <c r="P75" s="30">
        <f>(A75-B75)*(I_Cout_ss*$Q$2+C75)</f>
        <v>54.63769231</v>
      </c>
      <c r="Q75" s="30">
        <f>(A75-B75)*(I_Cout_ss*$R$2+C75)</f>
        <v>23.41615385</v>
      </c>
      <c r="R75" s="30"/>
      <c r="S75" s="30"/>
      <c r="T75" s="30"/>
      <c r="U75" s="30"/>
      <c r="V75" s="30"/>
      <c r="W75" s="30"/>
      <c r="X75" s="30"/>
      <c r="Y75" s="30"/>
      <c r="Z75" s="30"/>
      <c r="AA75" s="30"/>
      <c r="AB75" s="30"/>
      <c r="AC75" s="30"/>
    </row>
    <row r="76" ht="12.75" customHeight="1">
      <c r="A76" s="30">
        <f>VINMAX</f>
        <v>58.4</v>
      </c>
      <c r="B76" s="216">
        <f>VINMAX*((ROW()-10)/104)</f>
        <v>37.06153846</v>
      </c>
      <c r="C76" s="196">
        <f t="shared" si="1"/>
        <v>0</v>
      </c>
      <c r="D76" s="205">
        <f t="shared" si="2"/>
        <v>314.4654088</v>
      </c>
      <c r="E76" s="44">
        <f t="shared" si="3"/>
        <v>14.73702348</v>
      </c>
      <c r="F76" s="196">
        <f>I_Cout_ss+C76</f>
        <v>1.568205128</v>
      </c>
      <c r="G76" s="196">
        <f t="shared" si="4"/>
        <v>1.568205128</v>
      </c>
      <c r="H76" s="196">
        <f t="shared" si="5"/>
        <v>1.568205128</v>
      </c>
      <c r="I76" s="201">
        <f>(COUTMAX/1000000)*(B76-B75)/H76</f>
        <v>0.0009954545455</v>
      </c>
      <c r="J76" s="201">
        <f t="shared" si="10"/>
        <v>0.0657</v>
      </c>
      <c r="K76" s="195">
        <f t="shared" si="6"/>
        <v>65.7</v>
      </c>
      <c r="L76" s="202">
        <f t="shared" si="7"/>
        <v>1</v>
      </c>
      <c r="M76" s="30">
        <f>1/COUTMAX*(E76/2-C76)*1000</f>
        <v>2.650543792</v>
      </c>
      <c r="N76" s="213">
        <f t="shared" si="8"/>
        <v>0.03331097988</v>
      </c>
      <c r="O76" s="30">
        <f t="shared" si="9"/>
        <v>33.46308481</v>
      </c>
      <c r="P76" s="30">
        <f>(A76-B76)*(I_Cout_ss*$Q$2+C76)</f>
        <v>53.23672584</v>
      </c>
      <c r="Q76" s="30">
        <f>(A76-B76)*(I_Cout_ss*$R$2+C76)</f>
        <v>22.81573964</v>
      </c>
      <c r="R76" s="30"/>
      <c r="S76" s="30"/>
      <c r="T76" s="30"/>
      <c r="U76" s="30"/>
      <c r="V76" s="30"/>
      <c r="W76" s="30"/>
      <c r="X76" s="30"/>
      <c r="Y76" s="30"/>
      <c r="Z76" s="30"/>
      <c r="AA76" s="30"/>
      <c r="AB76" s="30"/>
      <c r="AC76" s="30"/>
    </row>
    <row r="77" ht="12.75" customHeight="1">
      <c r="A77" s="30">
        <f>VINMAX</f>
        <v>58.4</v>
      </c>
      <c r="B77" s="216">
        <f>VINMAX*((ROW()-10)/104)</f>
        <v>37.62307692</v>
      </c>
      <c r="C77" s="196">
        <f t="shared" si="1"/>
        <v>0</v>
      </c>
      <c r="D77" s="205">
        <f t="shared" si="2"/>
        <v>314.4654088</v>
      </c>
      <c r="E77" s="44">
        <f t="shared" si="3"/>
        <v>15.13532142</v>
      </c>
      <c r="F77" s="196">
        <f>I_Cout_ss+C77</f>
        <v>1.568205128</v>
      </c>
      <c r="G77" s="196">
        <f t="shared" si="4"/>
        <v>1.568205128</v>
      </c>
      <c r="H77" s="196">
        <f t="shared" si="5"/>
        <v>1.568205128</v>
      </c>
      <c r="I77" s="201">
        <f>(COUTMAX/1000000)*(B77-B76)/H77</f>
        <v>0.0009954545455</v>
      </c>
      <c r="J77" s="201">
        <f t="shared" si="10"/>
        <v>0.06669545455</v>
      </c>
      <c r="K77" s="195">
        <f t="shared" si="6"/>
        <v>66.69545455</v>
      </c>
      <c r="L77" s="202">
        <f t="shared" si="7"/>
        <v>1</v>
      </c>
      <c r="M77" s="30">
        <f>1/COUTMAX*(E77/2-C77)*1000</f>
        <v>2.722180111</v>
      </c>
      <c r="N77" s="213">
        <f t="shared" si="8"/>
        <v>0.03243437515</v>
      </c>
      <c r="O77" s="30">
        <f t="shared" si="9"/>
        <v>32.58247732</v>
      </c>
      <c r="P77" s="30">
        <f>(A77-B77)*(I_Cout_ss*$Q$2+C77)</f>
        <v>51.83575937</v>
      </c>
      <c r="Q77" s="30">
        <f>(A77-B77)*(I_Cout_ss*$R$2+C77)</f>
        <v>22.21532544</v>
      </c>
      <c r="R77" s="30"/>
      <c r="S77" s="30"/>
      <c r="T77" s="30"/>
      <c r="U77" s="30"/>
      <c r="V77" s="30"/>
      <c r="W77" s="30"/>
      <c r="X77" s="30"/>
      <c r="Y77" s="30"/>
      <c r="Z77" s="30"/>
      <c r="AA77" s="30"/>
      <c r="AB77" s="30"/>
      <c r="AC77" s="30"/>
    </row>
    <row r="78" ht="12.75" customHeight="1">
      <c r="A78" s="30">
        <f>VINMAX</f>
        <v>58.4</v>
      </c>
      <c r="B78" s="216">
        <f>VINMAX*((ROW()-10)/104)</f>
        <v>38.18461538</v>
      </c>
      <c r="C78" s="196">
        <f t="shared" si="1"/>
        <v>0</v>
      </c>
      <c r="D78" s="205">
        <f t="shared" si="2"/>
        <v>314.4654088</v>
      </c>
      <c r="E78" s="44">
        <f t="shared" si="3"/>
        <v>15.55574701</v>
      </c>
      <c r="F78" s="196">
        <f>I_Cout_ss+C78</f>
        <v>1.568205128</v>
      </c>
      <c r="G78" s="196">
        <f t="shared" si="4"/>
        <v>1.568205128</v>
      </c>
      <c r="H78" s="196">
        <f t="shared" si="5"/>
        <v>1.568205128</v>
      </c>
      <c r="I78" s="201">
        <f>(COUTMAX/1000000)*(B78-B77)/H78</f>
        <v>0.0009954545455</v>
      </c>
      <c r="J78" s="201">
        <f t="shared" si="10"/>
        <v>0.06769090909</v>
      </c>
      <c r="K78" s="195">
        <f t="shared" si="6"/>
        <v>67.69090909</v>
      </c>
      <c r="L78" s="202">
        <f t="shared" si="7"/>
        <v>1</v>
      </c>
      <c r="M78" s="30">
        <f>1/COUTMAX*(E78/2-C78)*1000</f>
        <v>2.797796225</v>
      </c>
      <c r="N78" s="213">
        <f t="shared" si="8"/>
        <v>0.03155777041</v>
      </c>
      <c r="O78" s="30">
        <f t="shared" si="9"/>
        <v>31.70186982</v>
      </c>
      <c r="P78" s="30">
        <f>(A78-B78)*(I_Cout_ss*$Q$2+C78)</f>
        <v>50.4347929</v>
      </c>
      <c r="Q78" s="30">
        <f>(A78-B78)*(I_Cout_ss*$R$2+C78)</f>
        <v>21.61491124</v>
      </c>
      <c r="R78" s="30"/>
      <c r="S78" s="30"/>
      <c r="T78" s="30"/>
      <c r="U78" s="30"/>
      <c r="V78" s="30"/>
      <c r="W78" s="30"/>
      <c r="X78" s="30"/>
      <c r="Y78" s="30"/>
      <c r="Z78" s="30"/>
      <c r="AA78" s="30"/>
      <c r="AB78" s="30"/>
      <c r="AC78" s="30"/>
    </row>
    <row r="79" ht="12.75" customHeight="1">
      <c r="A79" s="30">
        <f>VINMAX</f>
        <v>58.4</v>
      </c>
      <c r="B79" s="216">
        <f>VINMAX*((ROW()-10)/104)</f>
        <v>38.74615385</v>
      </c>
      <c r="C79" s="196">
        <f t="shared" si="1"/>
        <v>0</v>
      </c>
      <c r="D79" s="205">
        <f t="shared" si="2"/>
        <v>314.4654088</v>
      </c>
      <c r="E79" s="44">
        <f t="shared" si="3"/>
        <v>16.00019693</v>
      </c>
      <c r="F79" s="196">
        <f>I_Cout_ss+C79</f>
        <v>1.568205128</v>
      </c>
      <c r="G79" s="196">
        <f t="shared" si="4"/>
        <v>1.568205128</v>
      </c>
      <c r="H79" s="196">
        <f t="shared" si="5"/>
        <v>1.568205128</v>
      </c>
      <c r="I79" s="201">
        <f>(COUTMAX/1000000)*(B79-B78)/H79</f>
        <v>0.0009954545455</v>
      </c>
      <c r="J79" s="201">
        <f t="shared" si="10"/>
        <v>0.06868636364</v>
      </c>
      <c r="K79" s="195">
        <f t="shared" si="6"/>
        <v>68.68636364</v>
      </c>
      <c r="L79" s="202">
        <f t="shared" si="7"/>
        <v>1</v>
      </c>
      <c r="M79" s="30">
        <f>1/COUTMAX*(E79/2-C79)*1000</f>
        <v>2.87773326</v>
      </c>
      <c r="N79" s="213">
        <f t="shared" si="8"/>
        <v>0.03068116568</v>
      </c>
      <c r="O79" s="30">
        <f t="shared" si="9"/>
        <v>30.82126233</v>
      </c>
      <c r="P79" s="30">
        <f>(A79-B79)*(I_Cout_ss*$Q$2+C79)</f>
        <v>49.03382643</v>
      </c>
      <c r="Q79" s="30">
        <f>(A79-B79)*(I_Cout_ss*$R$2+C79)</f>
        <v>21.01449704</v>
      </c>
      <c r="R79" s="30"/>
      <c r="S79" s="30"/>
      <c r="T79" s="30"/>
      <c r="U79" s="30"/>
      <c r="V79" s="30"/>
      <c r="W79" s="30"/>
      <c r="X79" s="30"/>
      <c r="Y79" s="30"/>
      <c r="Z79" s="30"/>
      <c r="AA79" s="30"/>
      <c r="AB79" s="30"/>
      <c r="AC79" s="30"/>
    </row>
    <row r="80" ht="12.75" customHeight="1">
      <c r="A80" s="30">
        <f>VINMAX</f>
        <v>58.4</v>
      </c>
      <c r="B80" s="216">
        <f>VINMAX*((ROW()-10)/104)</f>
        <v>39.30769231</v>
      </c>
      <c r="C80" s="196">
        <f t="shared" si="1"/>
        <v>0</v>
      </c>
      <c r="D80" s="205">
        <f t="shared" si="2"/>
        <v>314.4654088</v>
      </c>
      <c r="E80" s="44">
        <f t="shared" si="3"/>
        <v>16.47079095</v>
      </c>
      <c r="F80" s="196">
        <f>I_Cout_ss+C80</f>
        <v>1.568205128</v>
      </c>
      <c r="G80" s="196">
        <f t="shared" si="4"/>
        <v>1.568205128</v>
      </c>
      <c r="H80" s="196">
        <f t="shared" si="5"/>
        <v>1.568205128</v>
      </c>
      <c r="I80" s="201">
        <f>(COUTMAX/1000000)*(B80-B79)/H80</f>
        <v>0.0009954545455</v>
      </c>
      <c r="J80" s="201">
        <f t="shared" si="10"/>
        <v>0.06968181818</v>
      </c>
      <c r="K80" s="195">
        <f t="shared" si="6"/>
        <v>69.68181818</v>
      </c>
      <c r="L80" s="202">
        <f t="shared" si="7"/>
        <v>1</v>
      </c>
      <c r="M80" s="30">
        <f>1/COUTMAX*(E80/2-C80)*1000</f>
        <v>2.962372474</v>
      </c>
      <c r="N80" s="213">
        <f t="shared" si="8"/>
        <v>0.02980456095</v>
      </c>
      <c r="O80" s="30">
        <f t="shared" si="9"/>
        <v>29.94065483</v>
      </c>
      <c r="P80" s="30">
        <f>(A80-B80)*(I_Cout_ss*$Q$2+C80)</f>
        <v>47.63285996</v>
      </c>
      <c r="Q80" s="30">
        <f>(A80-B80)*(I_Cout_ss*$R$2+C80)</f>
        <v>20.41408284</v>
      </c>
      <c r="R80" s="30"/>
      <c r="S80" s="30"/>
      <c r="T80" s="30"/>
      <c r="U80" s="30"/>
      <c r="V80" s="30"/>
      <c r="W80" s="30"/>
      <c r="X80" s="30"/>
      <c r="Y80" s="30"/>
      <c r="Z80" s="30"/>
      <c r="AA80" s="30"/>
      <c r="AB80" s="30"/>
      <c r="AC80" s="30"/>
    </row>
    <row r="81" ht="12.75" customHeight="1">
      <c r="A81" s="30">
        <f>VINMAX</f>
        <v>58.4</v>
      </c>
      <c r="B81" s="216">
        <f>VINMAX*((ROW()-10)/104)</f>
        <v>39.86923077</v>
      </c>
      <c r="C81" s="196">
        <f t="shared" si="1"/>
        <v>0</v>
      </c>
      <c r="D81" s="205">
        <f t="shared" si="2"/>
        <v>314.4654088</v>
      </c>
      <c r="E81" s="44">
        <f t="shared" si="3"/>
        <v>16.96990583</v>
      </c>
      <c r="F81" s="196">
        <f>I_Cout_ss+C81</f>
        <v>1.568205128</v>
      </c>
      <c r="G81" s="196">
        <f t="shared" si="4"/>
        <v>1.568205128</v>
      </c>
      <c r="H81" s="196">
        <f t="shared" si="5"/>
        <v>1.568205128</v>
      </c>
      <c r="I81" s="201">
        <f>(COUTMAX/1000000)*(B81-B80)/H81</f>
        <v>0.0009954545455</v>
      </c>
      <c r="J81" s="201">
        <f t="shared" si="10"/>
        <v>0.07067727273</v>
      </c>
      <c r="K81" s="195">
        <f t="shared" si="6"/>
        <v>70.67727273</v>
      </c>
      <c r="L81" s="202">
        <f t="shared" si="7"/>
        <v>1</v>
      </c>
      <c r="M81" s="30">
        <f>1/COUTMAX*(E81/2-C81)*1000</f>
        <v>3.052141336</v>
      </c>
      <c r="N81" s="213">
        <f t="shared" si="8"/>
        <v>0.02892795621</v>
      </c>
      <c r="O81" s="30">
        <f t="shared" si="9"/>
        <v>29.06004734</v>
      </c>
      <c r="P81" s="30">
        <f>(A81-B81)*(I_Cout_ss*$Q$2+C81)</f>
        <v>46.23189349</v>
      </c>
      <c r="Q81" s="30">
        <f>(A81-B81)*(I_Cout_ss*$R$2+C81)</f>
        <v>19.81366864</v>
      </c>
      <c r="R81" s="30"/>
      <c r="S81" s="30"/>
      <c r="T81" s="30"/>
      <c r="U81" s="30"/>
      <c r="V81" s="30"/>
      <c r="W81" s="30"/>
      <c r="X81" s="30"/>
      <c r="Y81" s="30"/>
      <c r="Z81" s="30"/>
      <c r="AA81" s="30"/>
      <c r="AB81" s="30"/>
      <c r="AC81" s="30"/>
    </row>
    <row r="82" ht="12.75" customHeight="1">
      <c r="A82" s="30">
        <f>VINMAX</f>
        <v>58.4</v>
      </c>
      <c r="B82" s="216">
        <f>VINMAX*((ROW()-10)/104)</f>
        <v>40.43076923</v>
      </c>
      <c r="C82" s="196">
        <f t="shared" si="1"/>
        <v>0</v>
      </c>
      <c r="D82" s="205">
        <f t="shared" si="2"/>
        <v>314.4654088</v>
      </c>
      <c r="E82" s="44">
        <f t="shared" si="3"/>
        <v>17.50021539</v>
      </c>
      <c r="F82" s="196">
        <f>I_Cout_ss+C82</f>
        <v>1.568205128</v>
      </c>
      <c r="G82" s="196">
        <f t="shared" si="4"/>
        <v>1.568205128</v>
      </c>
      <c r="H82" s="196">
        <f t="shared" si="5"/>
        <v>1.568205128</v>
      </c>
      <c r="I82" s="201">
        <f>(COUTMAX/1000000)*(B82-B81)/H82</f>
        <v>0.0009954545455</v>
      </c>
      <c r="J82" s="201">
        <f t="shared" si="10"/>
        <v>0.07167272727</v>
      </c>
      <c r="K82" s="195">
        <f t="shared" si="6"/>
        <v>71.67272727</v>
      </c>
      <c r="L82" s="202">
        <f t="shared" si="7"/>
        <v>1</v>
      </c>
      <c r="M82" s="30">
        <f>1/COUTMAX*(E82/2-C82)*1000</f>
        <v>3.147520753</v>
      </c>
      <c r="N82" s="213">
        <f t="shared" si="8"/>
        <v>0.02805135148</v>
      </c>
      <c r="O82" s="30">
        <f t="shared" si="9"/>
        <v>28.17943984</v>
      </c>
      <c r="P82" s="30">
        <f>(A82-B82)*(I_Cout_ss*$Q$2+C82)</f>
        <v>44.83092702</v>
      </c>
      <c r="Q82" s="30">
        <f>(A82-B82)*(I_Cout_ss*$R$2+C82)</f>
        <v>19.21325444</v>
      </c>
      <c r="R82" s="30"/>
      <c r="S82" s="30"/>
      <c r="T82" s="30"/>
      <c r="U82" s="30"/>
      <c r="V82" s="30"/>
      <c r="W82" s="30"/>
      <c r="X82" s="30"/>
      <c r="Y82" s="30"/>
      <c r="Z82" s="30"/>
      <c r="AA82" s="30"/>
      <c r="AB82" s="30"/>
      <c r="AC82" s="30"/>
    </row>
    <row r="83" ht="12.75" customHeight="1">
      <c r="A83" s="30">
        <f>VINMAX</f>
        <v>58.4</v>
      </c>
      <c r="B83" s="216">
        <f>VINMAX*((ROW()-10)/104)</f>
        <v>40.99230769</v>
      </c>
      <c r="C83" s="196">
        <f t="shared" si="1"/>
        <v>0</v>
      </c>
      <c r="D83" s="205">
        <f t="shared" si="2"/>
        <v>314.4654088</v>
      </c>
      <c r="E83" s="44">
        <f t="shared" si="3"/>
        <v>18.06473846</v>
      </c>
      <c r="F83" s="196">
        <f>I_Cout_ss+C83</f>
        <v>1.568205128</v>
      </c>
      <c r="G83" s="196">
        <f t="shared" si="4"/>
        <v>1.568205128</v>
      </c>
      <c r="H83" s="196">
        <f t="shared" si="5"/>
        <v>1.568205128</v>
      </c>
      <c r="I83" s="201">
        <f>(COUTMAX/1000000)*(B83-B82)/H83</f>
        <v>0.0009954545455</v>
      </c>
      <c r="J83" s="201">
        <f t="shared" si="10"/>
        <v>0.07266818182</v>
      </c>
      <c r="K83" s="195">
        <f t="shared" si="6"/>
        <v>72.66818182</v>
      </c>
      <c r="L83" s="202">
        <f t="shared" si="7"/>
        <v>1</v>
      </c>
      <c r="M83" s="30">
        <f>1/COUTMAX*(E83/2-C83)*1000</f>
        <v>3.249053681</v>
      </c>
      <c r="N83" s="213">
        <f t="shared" si="8"/>
        <v>0.02717474675</v>
      </c>
      <c r="O83" s="30">
        <f t="shared" si="9"/>
        <v>27.29883235</v>
      </c>
      <c r="P83" s="30">
        <f>(A83-B83)*(I_Cout_ss*$Q$2+C83)</f>
        <v>43.42996055</v>
      </c>
      <c r="Q83" s="30">
        <f>(A83-B83)*(I_Cout_ss*$R$2+C83)</f>
        <v>18.61284024</v>
      </c>
      <c r="R83" s="30"/>
      <c r="S83" s="30"/>
      <c r="T83" s="30"/>
      <c r="U83" s="30"/>
      <c r="V83" s="30"/>
      <c r="W83" s="30"/>
      <c r="X83" s="30"/>
      <c r="Y83" s="30"/>
      <c r="Z83" s="30"/>
      <c r="AA83" s="30"/>
      <c r="AB83" s="30"/>
      <c r="AC83" s="30"/>
    </row>
    <row r="84" ht="12.75" customHeight="1">
      <c r="A84" s="30">
        <f>VINMAX</f>
        <v>58.4</v>
      </c>
      <c r="B84" s="216">
        <f>VINMAX*((ROW()-10)/104)</f>
        <v>41.55384615</v>
      </c>
      <c r="C84" s="196">
        <f t="shared" si="1"/>
        <v>0</v>
      </c>
      <c r="D84" s="205">
        <f t="shared" si="2"/>
        <v>314.4654088</v>
      </c>
      <c r="E84" s="44">
        <f t="shared" si="3"/>
        <v>18.66689641</v>
      </c>
      <c r="F84" s="196">
        <f>I_Cout_ss+C84</f>
        <v>1.568205128</v>
      </c>
      <c r="G84" s="196">
        <f t="shared" si="4"/>
        <v>1.568205128</v>
      </c>
      <c r="H84" s="196">
        <f t="shared" si="5"/>
        <v>1.568205128</v>
      </c>
      <c r="I84" s="201">
        <f>(COUTMAX/1000000)*(B84-B83)/H84</f>
        <v>0.0009954545455</v>
      </c>
      <c r="J84" s="201">
        <f t="shared" si="10"/>
        <v>0.07366363636</v>
      </c>
      <c r="K84" s="195">
        <f t="shared" si="6"/>
        <v>73.66363636</v>
      </c>
      <c r="L84" s="202">
        <f t="shared" si="7"/>
        <v>1</v>
      </c>
      <c r="M84" s="30">
        <f>1/COUTMAX*(E84/2-C84)*1000</f>
        <v>3.35735547</v>
      </c>
      <c r="N84" s="213">
        <f t="shared" si="8"/>
        <v>0.02629814201</v>
      </c>
      <c r="O84" s="30">
        <f t="shared" si="9"/>
        <v>26.41822485</v>
      </c>
      <c r="P84" s="30">
        <f>(A84-B84)*(I_Cout_ss*$Q$2+C84)</f>
        <v>42.02899408</v>
      </c>
      <c r="Q84" s="30">
        <f>(A84-B84)*(I_Cout_ss*$R$2+C84)</f>
        <v>18.01242604</v>
      </c>
      <c r="R84" s="30"/>
      <c r="S84" s="30"/>
      <c r="T84" s="30"/>
      <c r="U84" s="30"/>
      <c r="V84" s="30"/>
      <c r="W84" s="30"/>
      <c r="X84" s="30"/>
      <c r="Y84" s="30"/>
      <c r="Z84" s="30"/>
      <c r="AA84" s="30"/>
      <c r="AB84" s="30"/>
      <c r="AC84" s="30"/>
    </row>
    <row r="85" ht="12.75" customHeight="1">
      <c r="A85" s="30">
        <f>VINMAX</f>
        <v>58.4</v>
      </c>
      <c r="B85" s="216">
        <f>VINMAX*((ROW()-10)/104)</f>
        <v>42.11538462</v>
      </c>
      <c r="C85" s="196">
        <f t="shared" si="1"/>
        <v>0</v>
      </c>
      <c r="D85" s="205">
        <f t="shared" si="2"/>
        <v>314.4654088</v>
      </c>
      <c r="E85" s="44">
        <f t="shared" si="3"/>
        <v>19.3105825</v>
      </c>
      <c r="F85" s="196">
        <f>I_Cout_ss+C85</f>
        <v>1.568205128</v>
      </c>
      <c r="G85" s="196">
        <f t="shared" si="4"/>
        <v>1.568205128</v>
      </c>
      <c r="H85" s="196">
        <f t="shared" si="5"/>
        <v>1.568205128</v>
      </c>
      <c r="I85" s="201">
        <f>(COUTMAX/1000000)*(B85-B84)/H85</f>
        <v>0.0009954545455</v>
      </c>
      <c r="J85" s="201">
        <f t="shared" si="10"/>
        <v>0.07465909091</v>
      </c>
      <c r="K85" s="195">
        <f t="shared" si="6"/>
        <v>74.65909091</v>
      </c>
      <c r="L85" s="202">
        <f t="shared" si="7"/>
        <v>1</v>
      </c>
      <c r="M85" s="30">
        <f>1/COUTMAX*(E85/2-C85)*1000</f>
        <v>3.473126348</v>
      </c>
      <c r="N85" s="213">
        <f t="shared" si="8"/>
        <v>0.02542153728</v>
      </c>
      <c r="O85" s="30">
        <f t="shared" si="9"/>
        <v>25.53761736</v>
      </c>
      <c r="P85" s="30">
        <f>(A85-B85)*(I_Cout_ss*$Q$2+C85)</f>
        <v>40.62802761</v>
      </c>
      <c r="Q85" s="30">
        <f>(A85-B85)*(I_Cout_ss*$R$2+C85)</f>
        <v>17.41201183</v>
      </c>
      <c r="R85" s="30"/>
      <c r="S85" s="30"/>
      <c r="T85" s="30"/>
      <c r="U85" s="30"/>
      <c r="V85" s="30"/>
      <c r="W85" s="30"/>
      <c r="X85" s="30"/>
      <c r="Y85" s="30"/>
      <c r="Z85" s="30"/>
      <c r="AA85" s="30"/>
      <c r="AB85" s="30"/>
      <c r="AC85" s="30"/>
    </row>
    <row r="86" ht="12.75" customHeight="1">
      <c r="A86" s="30">
        <f>VINMAX</f>
        <v>58.4</v>
      </c>
      <c r="B86" s="216">
        <f>VINMAX*((ROW()-10)/104)</f>
        <v>42.67692308</v>
      </c>
      <c r="C86" s="196">
        <f t="shared" si="1"/>
        <v>0</v>
      </c>
      <c r="D86" s="205">
        <f t="shared" si="2"/>
        <v>314.4654088</v>
      </c>
      <c r="E86" s="44">
        <f t="shared" si="3"/>
        <v>20.00024616</v>
      </c>
      <c r="F86" s="196">
        <f>I_Cout_ss+C86</f>
        <v>1.568205128</v>
      </c>
      <c r="G86" s="196">
        <f t="shared" si="4"/>
        <v>1.568205128</v>
      </c>
      <c r="H86" s="196">
        <f t="shared" si="5"/>
        <v>1.568205128</v>
      </c>
      <c r="I86" s="201">
        <f>(COUTMAX/1000000)*(B86-B85)/H86</f>
        <v>0.0009954545455</v>
      </c>
      <c r="J86" s="201">
        <f t="shared" si="10"/>
        <v>0.07565454545</v>
      </c>
      <c r="K86" s="195">
        <f t="shared" si="6"/>
        <v>75.65454545</v>
      </c>
      <c r="L86" s="202">
        <f t="shared" si="7"/>
        <v>1</v>
      </c>
      <c r="M86" s="30">
        <f>1/COUTMAX*(E86/2-C86)*1000</f>
        <v>3.597166575</v>
      </c>
      <c r="N86" s="213">
        <f t="shared" si="8"/>
        <v>0.02454493254</v>
      </c>
      <c r="O86" s="30">
        <f t="shared" si="9"/>
        <v>24.65700986</v>
      </c>
      <c r="P86" s="30">
        <f>(A86-B86)*(I_Cout_ss*$Q$2+C86)</f>
        <v>39.22706114</v>
      </c>
      <c r="Q86" s="30">
        <f>(A86-B86)*(I_Cout_ss*$R$2+C86)</f>
        <v>16.81159763</v>
      </c>
      <c r="R86" s="30"/>
      <c r="S86" s="30"/>
      <c r="T86" s="30"/>
      <c r="U86" s="30"/>
      <c r="V86" s="30"/>
      <c r="W86" s="30"/>
      <c r="X86" s="30"/>
      <c r="Y86" s="30"/>
      <c r="Z86" s="30"/>
      <c r="AA86" s="30"/>
      <c r="AB86" s="30"/>
      <c r="AC86" s="30"/>
    </row>
    <row r="87" ht="12.75" customHeight="1">
      <c r="A87" s="30">
        <f>VINMAX</f>
        <v>58.4</v>
      </c>
      <c r="B87" s="216">
        <f>VINMAX*((ROW()-10)/104)</f>
        <v>43.23846154</v>
      </c>
      <c r="C87" s="196">
        <f t="shared" si="1"/>
        <v>0</v>
      </c>
      <c r="D87" s="205">
        <f t="shared" si="2"/>
        <v>314.4654088</v>
      </c>
      <c r="E87" s="44">
        <f t="shared" si="3"/>
        <v>20.74099601</v>
      </c>
      <c r="F87" s="196">
        <f>I_Cout_ss+C87</f>
        <v>1.568205128</v>
      </c>
      <c r="G87" s="196">
        <f t="shared" si="4"/>
        <v>1.568205128</v>
      </c>
      <c r="H87" s="196">
        <f t="shared" si="5"/>
        <v>1.568205128</v>
      </c>
      <c r="I87" s="201">
        <f>(COUTMAX/1000000)*(B87-B86)/H87</f>
        <v>0.0009954545455</v>
      </c>
      <c r="J87" s="201">
        <f t="shared" si="10"/>
        <v>0.07665</v>
      </c>
      <c r="K87" s="195">
        <f t="shared" si="6"/>
        <v>76.65</v>
      </c>
      <c r="L87" s="202">
        <f t="shared" si="7"/>
        <v>1</v>
      </c>
      <c r="M87" s="30">
        <f>1/COUTMAX*(E87/2-C87)*1000</f>
        <v>3.730394967</v>
      </c>
      <c r="N87" s="213">
        <f t="shared" si="8"/>
        <v>0.02366832781</v>
      </c>
      <c r="O87" s="30">
        <f t="shared" si="9"/>
        <v>23.77640237</v>
      </c>
      <c r="P87" s="30">
        <f>(A87-B87)*(I_Cout_ss*$Q$2+C87)</f>
        <v>37.82609467</v>
      </c>
      <c r="Q87" s="30">
        <f>(A87-B87)*(I_Cout_ss*$R$2+C87)</f>
        <v>16.21118343</v>
      </c>
      <c r="R87" s="30"/>
      <c r="S87" s="30"/>
      <c r="T87" s="30"/>
      <c r="U87" s="30"/>
      <c r="V87" s="30"/>
      <c r="W87" s="30"/>
      <c r="X87" s="30"/>
      <c r="Y87" s="30"/>
      <c r="Z87" s="30"/>
      <c r="AA87" s="30"/>
      <c r="AB87" s="30"/>
      <c r="AC87" s="30"/>
    </row>
    <row r="88" ht="12.75" customHeight="1">
      <c r="A88" s="30">
        <f>VINMAX</f>
        <v>58.4</v>
      </c>
      <c r="B88" s="216">
        <f>VINMAX*((ROW()-10)/104)</f>
        <v>43.8</v>
      </c>
      <c r="C88" s="196">
        <f t="shared" si="1"/>
        <v>0</v>
      </c>
      <c r="D88" s="205">
        <f t="shared" si="2"/>
        <v>314.4654088</v>
      </c>
      <c r="E88" s="44">
        <f t="shared" si="3"/>
        <v>21.53872663</v>
      </c>
      <c r="F88" s="196">
        <f>I_Cout_ss+C88</f>
        <v>1.568205128</v>
      </c>
      <c r="G88" s="196">
        <f t="shared" si="4"/>
        <v>1.568205128</v>
      </c>
      <c r="H88" s="196">
        <f t="shared" si="5"/>
        <v>1.568205128</v>
      </c>
      <c r="I88" s="201">
        <f>(COUTMAX/1000000)*(B88-B87)/H88</f>
        <v>0.0009954545455</v>
      </c>
      <c r="J88" s="201">
        <f t="shared" si="10"/>
        <v>0.07764545455</v>
      </c>
      <c r="K88" s="195">
        <f t="shared" si="6"/>
        <v>77.64545455</v>
      </c>
      <c r="L88" s="202">
        <f t="shared" si="7"/>
        <v>1</v>
      </c>
      <c r="M88" s="30">
        <f>1/COUTMAX*(E88/2-C88)*1000</f>
        <v>3.873871696</v>
      </c>
      <c r="N88" s="213">
        <f t="shared" si="8"/>
        <v>0.02279172308</v>
      </c>
      <c r="O88" s="30">
        <f t="shared" si="9"/>
        <v>22.89579487</v>
      </c>
      <c r="P88" s="30">
        <f>(A88-B88)*(I_Cout_ss*$Q$2+C88)</f>
        <v>36.42512821</v>
      </c>
      <c r="Q88" s="30">
        <f>(A88-B88)*(I_Cout_ss*$R$2+C88)</f>
        <v>15.61076923</v>
      </c>
      <c r="R88" s="30"/>
      <c r="S88" s="30"/>
      <c r="T88" s="30"/>
      <c r="U88" s="30"/>
      <c r="V88" s="30"/>
      <c r="W88" s="30"/>
      <c r="X88" s="30"/>
      <c r="Y88" s="30"/>
      <c r="Z88" s="30"/>
      <c r="AA88" s="30"/>
      <c r="AB88" s="30"/>
      <c r="AC88" s="30"/>
    </row>
    <row r="89" ht="12.75" customHeight="1">
      <c r="A89" s="30">
        <f>VINMAX</f>
        <v>58.4</v>
      </c>
      <c r="B89" s="216">
        <f>VINMAX*((ROW()-10)/104)</f>
        <v>44.36153846</v>
      </c>
      <c r="C89" s="196">
        <f t="shared" si="1"/>
        <v>0</v>
      </c>
      <c r="D89" s="205">
        <f t="shared" si="2"/>
        <v>314.4654088</v>
      </c>
      <c r="E89" s="44">
        <f t="shared" si="3"/>
        <v>22.4002757</v>
      </c>
      <c r="F89" s="196">
        <f>I_Cout_ss+C89</f>
        <v>1.568205128</v>
      </c>
      <c r="G89" s="196">
        <f t="shared" si="4"/>
        <v>1.568205128</v>
      </c>
      <c r="H89" s="196">
        <f t="shared" si="5"/>
        <v>1.568205128</v>
      </c>
      <c r="I89" s="201">
        <f>(COUTMAX/1000000)*(B89-B88)/H89</f>
        <v>0.0009954545455</v>
      </c>
      <c r="J89" s="201">
        <f t="shared" si="10"/>
        <v>0.07864090909</v>
      </c>
      <c r="K89" s="195">
        <f t="shared" si="6"/>
        <v>78.64090909</v>
      </c>
      <c r="L89" s="202">
        <f t="shared" si="7"/>
        <v>1</v>
      </c>
      <c r="M89" s="30">
        <f>1/COUTMAX*(E89/2-C89)*1000</f>
        <v>4.028826564</v>
      </c>
      <c r="N89" s="213">
        <f t="shared" si="8"/>
        <v>0.02191511834</v>
      </c>
      <c r="O89" s="30">
        <f t="shared" si="9"/>
        <v>22.01518738</v>
      </c>
      <c r="P89" s="30">
        <f>(A89-B89)*(I_Cout_ss*$Q$2+C89)</f>
        <v>35.02416174</v>
      </c>
      <c r="Q89" s="30">
        <f>(A89-B89)*(I_Cout_ss*$R$2+C89)</f>
        <v>15.01035503</v>
      </c>
      <c r="R89" s="30"/>
      <c r="S89" s="30"/>
      <c r="T89" s="30"/>
      <c r="U89" s="30"/>
      <c r="V89" s="30"/>
      <c r="W89" s="30"/>
      <c r="X89" s="30"/>
      <c r="Y89" s="30"/>
      <c r="Z89" s="30"/>
      <c r="AA89" s="30"/>
      <c r="AB89" s="30"/>
      <c r="AC89" s="30"/>
    </row>
    <row r="90" ht="12.75" customHeight="1">
      <c r="A90" s="30">
        <f>VINMAX</f>
        <v>58.4</v>
      </c>
      <c r="B90" s="216">
        <f>VINMAX*((ROW()-10)/104)</f>
        <v>44.92307692</v>
      </c>
      <c r="C90" s="196">
        <f t="shared" si="1"/>
        <v>0</v>
      </c>
      <c r="D90" s="205">
        <f t="shared" si="2"/>
        <v>314.4654088</v>
      </c>
      <c r="E90" s="44">
        <f t="shared" si="3"/>
        <v>23.33362052</v>
      </c>
      <c r="F90" s="196">
        <f>I_Cout_ss+C90</f>
        <v>1.568205128</v>
      </c>
      <c r="G90" s="196">
        <f t="shared" si="4"/>
        <v>1.568205128</v>
      </c>
      <c r="H90" s="196">
        <f t="shared" si="5"/>
        <v>1.568205128</v>
      </c>
      <c r="I90" s="201">
        <f>(COUTMAX/1000000)*(B90-B89)/H90</f>
        <v>0.0009954545455</v>
      </c>
      <c r="J90" s="201">
        <f t="shared" si="10"/>
        <v>0.07963636364</v>
      </c>
      <c r="K90" s="195">
        <f t="shared" si="6"/>
        <v>79.63636364</v>
      </c>
      <c r="L90" s="202">
        <f t="shared" si="7"/>
        <v>1</v>
      </c>
      <c r="M90" s="30">
        <f>1/COUTMAX*(E90/2-C90)*1000</f>
        <v>4.196694337</v>
      </c>
      <c r="N90" s="213">
        <f t="shared" si="8"/>
        <v>0.02103851361</v>
      </c>
      <c r="O90" s="30">
        <f t="shared" si="9"/>
        <v>21.13457988</v>
      </c>
      <c r="P90" s="30">
        <f>(A90-B90)*(I_Cout_ss*$Q$2+C90)</f>
        <v>33.62319527</v>
      </c>
      <c r="Q90" s="30">
        <f>(A90-B90)*(I_Cout_ss*$R$2+C90)</f>
        <v>14.40994083</v>
      </c>
      <c r="R90" s="30"/>
      <c r="S90" s="30"/>
      <c r="T90" s="30"/>
      <c r="U90" s="30"/>
      <c r="V90" s="30"/>
      <c r="W90" s="30"/>
      <c r="X90" s="30"/>
      <c r="Y90" s="30"/>
      <c r="Z90" s="30"/>
      <c r="AA90" s="30"/>
      <c r="AB90" s="30"/>
      <c r="AC90" s="30"/>
    </row>
    <row r="91" ht="12.75" customHeight="1">
      <c r="A91" s="30">
        <f>VINMAX</f>
        <v>58.4</v>
      </c>
      <c r="B91" s="216">
        <f>VINMAX*((ROW()-10)/104)</f>
        <v>45.48461538</v>
      </c>
      <c r="C91" s="196">
        <f t="shared" si="1"/>
        <v>0</v>
      </c>
      <c r="D91" s="205">
        <f t="shared" si="2"/>
        <v>314.4654088</v>
      </c>
      <c r="E91" s="44">
        <f t="shared" si="3"/>
        <v>24.34812576</v>
      </c>
      <c r="F91" s="196">
        <f>I_Cout_ss+C91</f>
        <v>1.568205128</v>
      </c>
      <c r="G91" s="196">
        <f t="shared" si="4"/>
        <v>1.568205128</v>
      </c>
      <c r="H91" s="196">
        <f t="shared" si="5"/>
        <v>1.568205128</v>
      </c>
      <c r="I91" s="201">
        <f>(COUTMAX/1000000)*(B91-B90)/H91</f>
        <v>0.0009954545455</v>
      </c>
      <c r="J91" s="201">
        <f t="shared" si="10"/>
        <v>0.08063181818</v>
      </c>
      <c r="K91" s="195">
        <f t="shared" si="6"/>
        <v>80.63181818</v>
      </c>
      <c r="L91" s="202">
        <f t="shared" si="7"/>
        <v>1</v>
      </c>
      <c r="M91" s="30">
        <f>1/COUTMAX*(E91/2-C91)*1000</f>
        <v>4.379159309</v>
      </c>
      <c r="N91" s="213">
        <f t="shared" si="8"/>
        <v>0.02016190888</v>
      </c>
      <c r="O91" s="30">
        <f t="shared" si="9"/>
        <v>20.25397239</v>
      </c>
      <c r="P91" s="30">
        <f>(A91-B91)*(I_Cout_ss*$Q$2+C91)</f>
        <v>32.2222288</v>
      </c>
      <c r="Q91" s="30">
        <f>(A91-B91)*(I_Cout_ss*$R$2+C91)</f>
        <v>13.80952663</v>
      </c>
      <c r="R91" s="30"/>
      <c r="S91" s="30"/>
      <c r="T91" s="30"/>
      <c r="U91" s="30"/>
      <c r="V91" s="30"/>
      <c r="W91" s="30"/>
      <c r="X91" s="30"/>
      <c r="Y91" s="30"/>
      <c r="Z91" s="30"/>
      <c r="AA91" s="30"/>
      <c r="AB91" s="30"/>
      <c r="AC91" s="30"/>
    </row>
    <row r="92" ht="12.75" customHeight="1">
      <c r="A92" s="30">
        <f>VINMAX</f>
        <v>58.4</v>
      </c>
      <c r="B92" s="216">
        <f>VINMAX*((ROW()-10)/104)</f>
        <v>46.04615385</v>
      </c>
      <c r="C92" s="196">
        <f t="shared" si="1"/>
        <v>0</v>
      </c>
      <c r="D92" s="205">
        <f t="shared" si="2"/>
        <v>314.4654088</v>
      </c>
      <c r="E92" s="44">
        <f t="shared" si="3"/>
        <v>25.45485875</v>
      </c>
      <c r="F92" s="196">
        <f>I_Cout_ss+C92</f>
        <v>1.568205128</v>
      </c>
      <c r="G92" s="196">
        <f t="shared" si="4"/>
        <v>1.568205128</v>
      </c>
      <c r="H92" s="196">
        <f t="shared" si="5"/>
        <v>1.568205128</v>
      </c>
      <c r="I92" s="201">
        <f>(COUTMAX/1000000)*(B92-B91)/H92</f>
        <v>0.0009954545455</v>
      </c>
      <c r="J92" s="201">
        <f t="shared" si="10"/>
        <v>0.08162727273</v>
      </c>
      <c r="K92" s="195">
        <f t="shared" si="6"/>
        <v>81.62727273</v>
      </c>
      <c r="L92" s="202">
        <f t="shared" si="7"/>
        <v>1</v>
      </c>
      <c r="M92" s="30">
        <f>1/COUTMAX*(E92/2-C92)*1000</f>
        <v>4.578212005</v>
      </c>
      <c r="N92" s="213">
        <f t="shared" si="8"/>
        <v>0.01928530414</v>
      </c>
      <c r="O92" s="30">
        <f t="shared" si="9"/>
        <v>19.37336489</v>
      </c>
      <c r="P92" s="30">
        <f>(A92-B92)*(I_Cout_ss*$Q$2+C92)</f>
        <v>30.82126233</v>
      </c>
      <c r="Q92" s="30">
        <f>(A92-B92)*(I_Cout_ss*$R$2+C92)</f>
        <v>13.20911243</v>
      </c>
      <c r="R92" s="30"/>
      <c r="S92" s="30"/>
      <c r="T92" s="30"/>
      <c r="U92" s="30"/>
      <c r="V92" s="30"/>
      <c r="W92" s="30"/>
      <c r="X92" s="30"/>
      <c r="Y92" s="30"/>
      <c r="Z92" s="30"/>
      <c r="AA92" s="30"/>
      <c r="AB92" s="30"/>
      <c r="AC92" s="30"/>
    </row>
    <row r="93" ht="12.75" customHeight="1">
      <c r="A93" s="30">
        <f>VINMAX</f>
        <v>58.4</v>
      </c>
      <c r="B93" s="216">
        <f>VINMAX*((ROW()-10)/104)</f>
        <v>46.60769231</v>
      </c>
      <c r="C93" s="196">
        <f t="shared" si="1"/>
        <v>0</v>
      </c>
      <c r="D93" s="205">
        <f t="shared" si="2"/>
        <v>314.4654088</v>
      </c>
      <c r="E93" s="44">
        <f t="shared" si="3"/>
        <v>26.66699488</v>
      </c>
      <c r="F93" s="196">
        <f>I_Cout_ss+C93</f>
        <v>1.568205128</v>
      </c>
      <c r="G93" s="196">
        <f t="shared" si="4"/>
        <v>1.568205128</v>
      </c>
      <c r="H93" s="196">
        <f t="shared" si="5"/>
        <v>1.568205128</v>
      </c>
      <c r="I93" s="201">
        <f>(COUTMAX/1000000)*(B93-B92)/H93</f>
        <v>0.0009954545455</v>
      </c>
      <c r="J93" s="201">
        <f t="shared" si="10"/>
        <v>0.08262272727</v>
      </c>
      <c r="K93" s="195">
        <f t="shared" si="6"/>
        <v>82.62272727</v>
      </c>
      <c r="L93" s="202">
        <f t="shared" si="7"/>
        <v>1</v>
      </c>
      <c r="M93" s="30">
        <f>1/COUTMAX*(E93/2-C93)*1000</f>
        <v>4.7962221</v>
      </c>
      <c r="N93" s="213">
        <f t="shared" si="8"/>
        <v>0.01840869941</v>
      </c>
      <c r="O93" s="30">
        <f t="shared" si="9"/>
        <v>18.4927574</v>
      </c>
      <c r="P93" s="30">
        <f>(A93-B93)*(I_Cout_ss*$Q$2+C93)</f>
        <v>29.42029586</v>
      </c>
      <c r="Q93" s="30">
        <f>(A93-B93)*(I_Cout_ss*$R$2+C93)</f>
        <v>12.60869822</v>
      </c>
      <c r="R93" s="30"/>
      <c r="S93" s="30"/>
      <c r="T93" s="30"/>
      <c r="U93" s="30"/>
      <c r="V93" s="30"/>
      <c r="W93" s="30"/>
      <c r="X93" s="30"/>
      <c r="Y93" s="30"/>
      <c r="Z93" s="30"/>
      <c r="AA93" s="30"/>
      <c r="AB93" s="30"/>
      <c r="AC93" s="30"/>
    </row>
    <row r="94" ht="12.75" customHeight="1">
      <c r="A94" s="30">
        <f>VINMAX</f>
        <v>58.4</v>
      </c>
      <c r="B94" s="216">
        <f>VINMAX*((ROW()-10)/104)</f>
        <v>47.16923077</v>
      </c>
      <c r="C94" s="196">
        <f t="shared" si="1"/>
        <v>0</v>
      </c>
      <c r="D94" s="205">
        <f t="shared" si="2"/>
        <v>314.4654088</v>
      </c>
      <c r="E94" s="44">
        <f t="shared" si="3"/>
        <v>28.00034462</v>
      </c>
      <c r="F94" s="196">
        <f>I_Cout_ss+C94</f>
        <v>1.568205128</v>
      </c>
      <c r="G94" s="196">
        <f t="shared" si="4"/>
        <v>1.568205128</v>
      </c>
      <c r="H94" s="196">
        <f t="shared" si="5"/>
        <v>1.568205128</v>
      </c>
      <c r="I94" s="201">
        <f>(COUTMAX/1000000)*(B94-B93)/H94</f>
        <v>0.0009954545455</v>
      </c>
      <c r="J94" s="201">
        <f t="shared" si="10"/>
        <v>0.08361818182</v>
      </c>
      <c r="K94" s="195">
        <f t="shared" si="6"/>
        <v>83.61818182</v>
      </c>
      <c r="L94" s="202">
        <f t="shared" si="7"/>
        <v>1</v>
      </c>
      <c r="M94" s="30">
        <f>1/COUTMAX*(E94/2-C94)*1000</f>
        <v>5.036033205</v>
      </c>
      <c r="N94" s="213">
        <f t="shared" si="8"/>
        <v>0.01753209467</v>
      </c>
      <c r="O94" s="30">
        <f t="shared" si="9"/>
        <v>17.6121499</v>
      </c>
      <c r="P94" s="30">
        <f>(A94-B94)*(I_Cout_ss*$Q$2+C94)</f>
        <v>28.01932939</v>
      </c>
      <c r="Q94" s="30">
        <f>(A94-B94)*(I_Cout_ss*$R$2+C94)</f>
        <v>12.00828402</v>
      </c>
      <c r="R94" s="30"/>
      <c r="S94" s="30"/>
      <c r="T94" s="30"/>
      <c r="U94" s="30"/>
      <c r="V94" s="30"/>
      <c r="W94" s="30"/>
      <c r="X94" s="30"/>
      <c r="Y94" s="30"/>
      <c r="Z94" s="30"/>
      <c r="AA94" s="30"/>
      <c r="AB94" s="30"/>
      <c r="AC94" s="30"/>
    </row>
    <row r="95" ht="12.75" customHeight="1">
      <c r="A95" s="30">
        <f>VINMAX</f>
        <v>58.4</v>
      </c>
      <c r="B95" s="216">
        <f>VINMAX*((ROW()-10)/104)</f>
        <v>47.73076923</v>
      </c>
      <c r="C95" s="196">
        <f t="shared" si="1"/>
        <v>0</v>
      </c>
      <c r="D95" s="205">
        <f t="shared" si="2"/>
        <v>314.4654088</v>
      </c>
      <c r="E95" s="44">
        <f t="shared" si="3"/>
        <v>29.47404697</v>
      </c>
      <c r="F95" s="196">
        <f>I_Cout_ss+C95</f>
        <v>1.568205128</v>
      </c>
      <c r="G95" s="196">
        <f t="shared" si="4"/>
        <v>1.568205128</v>
      </c>
      <c r="H95" s="196">
        <f t="shared" si="5"/>
        <v>1.568205128</v>
      </c>
      <c r="I95" s="201">
        <f>(COUTMAX/1000000)*(B95-B94)/H95</f>
        <v>0.0009954545455</v>
      </c>
      <c r="J95" s="201">
        <f t="shared" si="10"/>
        <v>0.08461363636</v>
      </c>
      <c r="K95" s="195">
        <f t="shared" si="6"/>
        <v>84.61363636</v>
      </c>
      <c r="L95" s="202">
        <f t="shared" si="7"/>
        <v>1</v>
      </c>
      <c r="M95" s="30">
        <f>1/COUTMAX*(E95/2-C95)*1000</f>
        <v>5.301087584</v>
      </c>
      <c r="N95" s="213">
        <f t="shared" si="8"/>
        <v>0.01665548994</v>
      </c>
      <c r="O95" s="30">
        <f t="shared" si="9"/>
        <v>16.73154241</v>
      </c>
      <c r="P95" s="30">
        <f>(A95-B95)*(I_Cout_ss*$Q$2+C95)</f>
        <v>26.61836292</v>
      </c>
      <c r="Q95" s="30">
        <f>(A95-B95)*(I_Cout_ss*$R$2+C95)</f>
        <v>11.40786982</v>
      </c>
      <c r="R95" s="30"/>
      <c r="S95" s="30"/>
      <c r="T95" s="30"/>
      <c r="U95" s="30"/>
      <c r="V95" s="30"/>
      <c r="W95" s="30"/>
      <c r="X95" s="30"/>
      <c r="Y95" s="30"/>
      <c r="Z95" s="30"/>
      <c r="AA95" s="30"/>
      <c r="AB95" s="30"/>
      <c r="AC95" s="30"/>
    </row>
    <row r="96" ht="12.75" customHeight="1">
      <c r="A96" s="30">
        <f>VINMAX</f>
        <v>58.4</v>
      </c>
      <c r="B96" s="216">
        <f>VINMAX*((ROW()-10)/104)</f>
        <v>48.29230769</v>
      </c>
      <c r="C96" s="196">
        <f t="shared" si="1"/>
        <v>12</v>
      </c>
      <c r="D96" s="205">
        <f t="shared" si="2"/>
        <v>314.4654088</v>
      </c>
      <c r="E96" s="44">
        <f t="shared" si="3"/>
        <v>31.11149402</v>
      </c>
      <c r="F96" s="196">
        <f>I_Cout_ss+C96</f>
        <v>13.56820513</v>
      </c>
      <c r="G96" s="196">
        <f t="shared" si="4"/>
        <v>13.56820513</v>
      </c>
      <c r="H96" s="196">
        <f t="shared" si="5"/>
        <v>1.568205128</v>
      </c>
      <c r="I96" s="201">
        <f>(COUTMAX/1000000)*(B96-B95)/H96</f>
        <v>0.0009954545455</v>
      </c>
      <c r="J96" s="201">
        <f t="shared" si="10"/>
        <v>0.08560909091</v>
      </c>
      <c r="K96" s="195">
        <f t="shared" si="6"/>
        <v>85.60909091</v>
      </c>
      <c r="L96" s="202">
        <f t="shared" si="7"/>
        <v>0.1155794089</v>
      </c>
      <c r="M96" s="30">
        <f>1/COUTMAX*(E96/2-C96)*1000</f>
        <v>1.279045687</v>
      </c>
      <c r="N96" s="213">
        <f t="shared" si="8"/>
        <v>0.1365198642</v>
      </c>
      <c r="O96" s="30">
        <f t="shared" si="9"/>
        <v>137.1432426</v>
      </c>
      <c r="P96" s="30">
        <f>(A96-B96)*(I_Cout_ss*$Q$2+C96)</f>
        <v>146.5097041</v>
      </c>
      <c r="Q96" s="30">
        <f>(A96-B96)*(I_Cout_ss*$R$2+C96)</f>
        <v>132.0997633</v>
      </c>
      <c r="R96" s="30"/>
      <c r="S96" s="30"/>
      <c r="T96" s="30"/>
      <c r="U96" s="30"/>
      <c r="V96" s="30"/>
      <c r="W96" s="30"/>
      <c r="X96" s="30"/>
      <c r="Y96" s="30"/>
      <c r="Z96" s="30"/>
      <c r="AA96" s="30"/>
      <c r="AB96" s="30"/>
      <c r="AC96" s="30"/>
    </row>
    <row r="97" ht="12.75" customHeight="1">
      <c r="A97" s="30">
        <f>VINMAX</f>
        <v>58.4</v>
      </c>
      <c r="B97" s="216">
        <f>VINMAX*((ROW()-10)/104)</f>
        <v>48.85384615</v>
      </c>
      <c r="C97" s="196">
        <f t="shared" si="1"/>
        <v>12</v>
      </c>
      <c r="D97" s="205">
        <f t="shared" si="2"/>
        <v>314.4654088</v>
      </c>
      <c r="E97" s="44">
        <f t="shared" si="3"/>
        <v>32.94158191</v>
      </c>
      <c r="F97" s="196">
        <f>I_Cout_ss+C97</f>
        <v>13.56820513</v>
      </c>
      <c r="G97" s="196">
        <f t="shared" si="4"/>
        <v>13.56820513</v>
      </c>
      <c r="H97" s="196">
        <f t="shared" si="5"/>
        <v>1.568205128</v>
      </c>
      <c r="I97" s="201">
        <f>(COUTMAX/1000000)*(B97-B96)/H97</f>
        <v>0.0009954545455</v>
      </c>
      <c r="J97" s="201">
        <f t="shared" si="10"/>
        <v>0.08660454545</v>
      </c>
      <c r="K97" s="195">
        <f t="shared" si="6"/>
        <v>86.60454545</v>
      </c>
      <c r="L97" s="202">
        <f t="shared" si="7"/>
        <v>0.1155794089</v>
      </c>
      <c r="M97" s="30">
        <f>1/COUTMAX*(E97/2-C97)*1000</f>
        <v>1.608198184</v>
      </c>
      <c r="N97" s="213">
        <f t="shared" si="8"/>
        <v>0.1289354273</v>
      </c>
      <c r="O97" s="30">
        <f t="shared" si="9"/>
        <v>129.5241736</v>
      </c>
      <c r="P97" s="30">
        <f>(A97-B97)*(I_Cout_ss*$Q$2+C97)</f>
        <v>138.3702761</v>
      </c>
      <c r="Q97" s="30">
        <f>(A97-B97)*(I_Cout_ss*$R$2+C97)</f>
        <v>124.7608876</v>
      </c>
      <c r="R97" s="30"/>
      <c r="S97" s="30"/>
      <c r="T97" s="30"/>
      <c r="U97" s="30"/>
      <c r="V97" s="30"/>
      <c r="W97" s="30"/>
      <c r="X97" s="30"/>
      <c r="Y97" s="30"/>
      <c r="Z97" s="30"/>
      <c r="AA97" s="30"/>
      <c r="AB97" s="30"/>
      <c r="AC97" s="30"/>
    </row>
    <row r="98" ht="12.75" customHeight="1">
      <c r="A98" s="30">
        <f>VINMAX</f>
        <v>58.4</v>
      </c>
      <c r="B98" s="216">
        <f>VINMAX*((ROW()-10)/104)</f>
        <v>49.41538462</v>
      </c>
      <c r="C98" s="196">
        <f t="shared" si="1"/>
        <v>12</v>
      </c>
      <c r="D98" s="205">
        <f t="shared" si="2"/>
        <v>314.4654088</v>
      </c>
      <c r="E98" s="44">
        <f t="shared" si="3"/>
        <v>35.00043077</v>
      </c>
      <c r="F98" s="196">
        <f>I_Cout_ss+C98</f>
        <v>13.56820513</v>
      </c>
      <c r="G98" s="196">
        <f t="shared" si="4"/>
        <v>13.56820513</v>
      </c>
      <c r="H98" s="196">
        <f t="shared" si="5"/>
        <v>1.568205128</v>
      </c>
      <c r="I98" s="201">
        <f>(COUTMAX/1000000)*(B98-B97)/H98</f>
        <v>0.0009954545455</v>
      </c>
      <c r="J98" s="201">
        <f t="shared" si="10"/>
        <v>0.0876</v>
      </c>
      <c r="K98" s="195">
        <f t="shared" si="6"/>
        <v>87.6</v>
      </c>
      <c r="L98" s="202">
        <f t="shared" si="7"/>
        <v>0.1155794089</v>
      </c>
      <c r="M98" s="30">
        <f>1/COUTMAX*(E98/2-C98)*1000</f>
        <v>1.978494744</v>
      </c>
      <c r="N98" s="213">
        <f t="shared" si="8"/>
        <v>0.1213509904</v>
      </c>
      <c r="O98" s="30">
        <f t="shared" si="9"/>
        <v>121.9051045</v>
      </c>
      <c r="P98" s="30">
        <f>(A98-B98)*(I_Cout_ss*$Q$2+C98)</f>
        <v>130.2308481</v>
      </c>
      <c r="Q98" s="30">
        <f>(A98-B98)*(I_Cout_ss*$R$2+C98)</f>
        <v>117.4220118</v>
      </c>
      <c r="R98" s="30"/>
      <c r="S98" s="30"/>
      <c r="T98" s="30"/>
      <c r="U98" s="30"/>
      <c r="V98" s="30"/>
      <c r="W98" s="30"/>
      <c r="X98" s="30"/>
      <c r="Y98" s="30"/>
      <c r="Z98" s="30"/>
      <c r="AA98" s="30"/>
      <c r="AB98" s="30"/>
      <c r="AC98" s="30"/>
    </row>
    <row r="99" ht="12.75" customHeight="1">
      <c r="A99" s="30">
        <f>VINMAX</f>
        <v>58.4</v>
      </c>
      <c r="B99" s="216">
        <f>VINMAX*((ROW()-10)/104)</f>
        <v>49.97692308</v>
      </c>
      <c r="C99" s="196">
        <f t="shared" si="1"/>
        <v>12</v>
      </c>
      <c r="D99" s="205">
        <f t="shared" si="2"/>
        <v>314.4654088</v>
      </c>
      <c r="E99" s="44">
        <f t="shared" si="3"/>
        <v>37.33379283</v>
      </c>
      <c r="F99" s="196">
        <f>I_Cout_ss+C99</f>
        <v>13.56820513</v>
      </c>
      <c r="G99" s="196">
        <f t="shared" si="4"/>
        <v>13.56820513</v>
      </c>
      <c r="H99" s="196">
        <f t="shared" si="5"/>
        <v>1.568205128</v>
      </c>
      <c r="I99" s="201">
        <f>(COUTMAX/1000000)*(B99-B98)/H99</f>
        <v>0.0009954545455</v>
      </c>
      <c r="J99" s="201">
        <f t="shared" si="10"/>
        <v>0.08859545455</v>
      </c>
      <c r="K99" s="195">
        <f t="shared" si="6"/>
        <v>88.59545455</v>
      </c>
      <c r="L99" s="202">
        <f t="shared" si="7"/>
        <v>0.1155794089</v>
      </c>
      <c r="M99" s="30">
        <f>1/COUTMAX*(E99/2-C99)*1000</f>
        <v>2.398164177</v>
      </c>
      <c r="N99" s="213">
        <f t="shared" si="8"/>
        <v>0.1137665535</v>
      </c>
      <c r="O99" s="30">
        <f t="shared" si="9"/>
        <v>114.2860355</v>
      </c>
      <c r="P99" s="30">
        <f>(A99-B99)*(I_Cout_ss*$Q$2+C99)</f>
        <v>122.0914201</v>
      </c>
      <c r="Q99" s="30">
        <f>(A99-B99)*(I_Cout_ss*$R$2+C99)</f>
        <v>110.0831361</v>
      </c>
      <c r="R99" s="30"/>
      <c r="S99" s="30"/>
      <c r="T99" s="30"/>
      <c r="U99" s="30"/>
      <c r="V99" s="30"/>
      <c r="W99" s="30"/>
      <c r="X99" s="30"/>
      <c r="Y99" s="30"/>
      <c r="Z99" s="30"/>
      <c r="AA99" s="30"/>
      <c r="AB99" s="30"/>
      <c r="AC99" s="30"/>
    </row>
    <row r="100" ht="12.75" customHeight="1">
      <c r="A100" s="30">
        <f>VINMAX</f>
        <v>58.4</v>
      </c>
      <c r="B100" s="216">
        <f>VINMAX*((ROW()-10)/104)</f>
        <v>50.53846154</v>
      </c>
      <c r="C100" s="196">
        <f t="shared" si="1"/>
        <v>12</v>
      </c>
      <c r="D100" s="205">
        <f t="shared" si="2"/>
        <v>314.4654088</v>
      </c>
      <c r="E100" s="44">
        <f t="shared" si="3"/>
        <v>40.00049231</v>
      </c>
      <c r="F100" s="196">
        <f>I_Cout_ss+C100</f>
        <v>13.56820513</v>
      </c>
      <c r="G100" s="196">
        <f t="shared" si="4"/>
        <v>13.56820513</v>
      </c>
      <c r="H100" s="196">
        <f t="shared" si="5"/>
        <v>1.568205128</v>
      </c>
      <c r="I100" s="201">
        <f>(COUTMAX/1000000)*(B100-B99)/H100</f>
        <v>0.0009954545455</v>
      </c>
      <c r="J100" s="201">
        <f t="shared" si="10"/>
        <v>0.08959090909</v>
      </c>
      <c r="K100" s="195">
        <f t="shared" si="6"/>
        <v>89.59090909</v>
      </c>
      <c r="L100" s="202">
        <f t="shared" si="7"/>
        <v>0.1155794089</v>
      </c>
      <c r="M100" s="30">
        <f>1/COUTMAX*(E100/2-C100)*1000</f>
        <v>2.877786387</v>
      </c>
      <c r="N100" s="213">
        <f t="shared" si="8"/>
        <v>0.1061821166</v>
      </c>
      <c r="O100" s="30">
        <f t="shared" si="9"/>
        <v>106.6669665</v>
      </c>
      <c r="P100" s="30">
        <f>(A100-B100)*(I_Cout_ss*$Q$2+C100)</f>
        <v>113.9519921</v>
      </c>
      <c r="Q100" s="30">
        <f>(A100-B100)*(I_Cout_ss*$R$2+C100)</f>
        <v>102.7442604</v>
      </c>
      <c r="R100" s="30"/>
      <c r="S100" s="30"/>
      <c r="T100" s="30"/>
      <c r="U100" s="30"/>
      <c r="V100" s="30"/>
      <c r="W100" s="30"/>
      <c r="X100" s="30"/>
      <c r="Y100" s="30"/>
      <c r="Z100" s="30"/>
      <c r="AA100" s="30"/>
      <c r="AB100" s="30"/>
      <c r="AC100" s="30"/>
    </row>
    <row r="101" ht="12.75" customHeight="1">
      <c r="A101" s="30">
        <f>VINMAX</f>
        <v>58.4</v>
      </c>
      <c r="B101" s="216">
        <f>VINMAX*((ROW()-10)/104)</f>
        <v>51.1</v>
      </c>
      <c r="C101" s="196">
        <f t="shared" si="1"/>
        <v>12</v>
      </c>
      <c r="D101" s="205">
        <f t="shared" si="2"/>
        <v>314.4654088</v>
      </c>
      <c r="E101" s="44">
        <f t="shared" si="3"/>
        <v>43.07745326</v>
      </c>
      <c r="F101" s="196">
        <f>I_Cout_ss+C101</f>
        <v>13.56820513</v>
      </c>
      <c r="G101" s="196">
        <f t="shared" si="4"/>
        <v>13.56820513</v>
      </c>
      <c r="H101" s="196">
        <f t="shared" si="5"/>
        <v>1.568205128</v>
      </c>
      <c r="I101" s="201">
        <f>(COUTMAX/1000000)*(B101-B100)/H101</f>
        <v>0.0009954545455</v>
      </c>
      <c r="J101" s="201">
        <f t="shared" si="10"/>
        <v>0.09058636364</v>
      </c>
      <c r="K101" s="195">
        <f t="shared" si="6"/>
        <v>90.58636364</v>
      </c>
      <c r="L101" s="202">
        <f t="shared" si="7"/>
        <v>0.1155794089</v>
      </c>
      <c r="M101" s="30">
        <f>1/COUTMAX*(E101/2-C101)*1000</f>
        <v>3.43119663</v>
      </c>
      <c r="N101" s="213">
        <f t="shared" si="8"/>
        <v>0.09859767972</v>
      </c>
      <c r="O101" s="30">
        <f t="shared" si="9"/>
        <v>99.04789744</v>
      </c>
      <c r="P101" s="30">
        <f>(A101-B101)*(I_Cout_ss*$Q$2+C101)</f>
        <v>105.8125641</v>
      </c>
      <c r="Q101" s="30">
        <f>(A101-B101)*(I_Cout_ss*$R$2+C101)</f>
        <v>95.40538462</v>
      </c>
      <c r="R101" s="30"/>
      <c r="S101" s="30"/>
      <c r="T101" s="30"/>
      <c r="U101" s="30"/>
      <c r="V101" s="30"/>
      <c r="W101" s="30"/>
      <c r="X101" s="30"/>
      <c r="Y101" s="30"/>
      <c r="Z101" s="30"/>
      <c r="AA101" s="30"/>
      <c r="AB101" s="30"/>
      <c r="AC101" s="30"/>
    </row>
    <row r="102" ht="12.75" customHeight="1">
      <c r="A102" s="30">
        <f>VINMAX</f>
        <v>58.4</v>
      </c>
      <c r="B102" s="216">
        <f>VINMAX*((ROW()-10)/104)</f>
        <v>51.66153846</v>
      </c>
      <c r="C102" s="196">
        <f t="shared" si="1"/>
        <v>12</v>
      </c>
      <c r="D102" s="205">
        <f t="shared" si="2"/>
        <v>314.4654088</v>
      </c>
      <c r="E102" s="44">
        <f t="shared" si="3"/>
        <v>46.66724103</v>
      </c>
      <c r="F102" s="196">
        <f>I_Cout_ss+C102</f>
        <v>13.56820513</v>
      </c>
      <c r="G102" s="196">
        <f t="shared" si="4"/>
        <v>13.56820513</v>
      </c>
      <c r="H102" s="196">
        <f t="shared" si="5"/>
        <v>1.568205128</v>
      </c>
      <c r="I102" s="201">
        <f>(COUTMAX/1000000)*(B102-B101)/H102</f>
        <v>0.0009954545455</v>
      </c>
      <c r="J102" s="201">
        <f t="shared" si="10"/>
        <v>0.09158181818</v>
      </c>
      <c r="K102" s="195">
        <f t="shared" si="6"/>
        <v>91.58181818</v>
      </c>
      <c r="L102" s="202">
        <f t="shared" si="7"/>
        <v>0.1155794089</v>
      </c>
      <c r="M102" s="30">
        <f>1/COUTMAX*(E102/2-C102)*1000</f>
        <v>4.076841912</v>
      </c>
      <c r="N102" s="213">
        <f t="shared" si="8"/>
        <v>0.09101324282</v>
      </c>
      <c r="O102" s="30">
        <f t="shared" si="9"/>
        <v>91.4288284</v>
      </c>
      <c r="P102" s="30">
        <f>(A102-B102)*(I_Cout_ss*$Q$2+C102)</f>
        <v>97.67313609</v>
      </c>
      <c r="Q102" s="30">
        <f>(A102-B102)*(I_Cout_ss*$R$2+C102)</f>
        <v>88.06650888</v>
      </c>
      <c r="R102" s="30"/>
      <c r="S102" s="30"/>
      <c r="T102" s="30"/>
      <c r="U102" s="30"/>
      <c r="V102" s="30"/>
      <c r="W102" s="30"/>
      <c r="X102" s="30"/>
      <c r="Y102" s="30"/>
      <c r="Z102" s="30"/>
      <c r="AA102" s="30"/>
      <c r="AB102" s="30"/>
      <c r="AC102" s="30"/>
    </row>
    <row r="103" ht="12.75" customHeight="1">
      <c r="A103" s="30">
        <f>VINMAX</f>
        <v>58.4</v>
      </c>
      <c r="B103" s="216">
        <f>VINMAX*((ROW()-10)/104)</f>
        <v>52.22307692</v>
      </c>
      <c r="C103" s="196">
        <f t="shared" si="1"/>
        <v>12</v>
      </c>
      <c r="D103" s="205">
        <f t="shared" si="2"/>
        <v>314.4654088</v>
      </c>
      <c r="E103" s="44">
        <f t="shared" si="3"/>
        <v>50</v>
      </c>
      <c r="F103" s="196">
        <f>I_Cout_ss+C103</f>
        <v>13.56820513</v>
      </c>
      <c r="G103" s="196">
        <f t="shared" si="4"/>
        <v>13.56820513</v>
      </c>
      <c r="H103" s="196">
        <f t="shared" si="5"/>
        <v>1.568205128</v>
      </c>
      <c r="I103" s="201">
        <f>(COUTMAX/1000000)*(B103-B102)/H103</f>
        <v>0.0009954545455</v>
      </c>
      <c r="J103" s="201">
        <f t="shared" si="10"/>
        <v>0.09257727273</v>
      </c>
      <c r="K103" s="195">
        <f t="shared" si="6"/>
        <v>92.57727273</v>
      </c>
      <c r="L103" s="202">
        <f t="shared" si="7"/>
        <v>0.1155794089</v>
      </c>
      <c r="M103" s="30">
        <f>1/COUTMAX*(E103/2-C103)*1000</f>
        <v>4.676258993</v>
      </c>
      <c r="N103" s="213">
        <f t="shared" si="8"/>
        <v>0.08342880592</v>
      </c>
      <c r="O103" s="30">
        <f t="shared" si="9"/>
        <v>83.80975937</v>
      </c>
      <c r="P103" s="30">
        <f>(A103-B103)*(I_Cout_ss*$Q$2+C103)</f>
        <v>89.53370809</v>
      </c>
      <c r="Q103" s="30">
        <f>(A103-B103)*(I_Cout_ss*$R$2+C103)</f>
        <v>80.72763314</v>
      </c>
      <c r="R103" s="30"/>
      <c r="S103" s="30"/>
      <c r="T103" s="30"/>
      <c r="U103" s="30"/>
      <c r="V103" s="30"/>
      <c r="W103" s="30"/>
      <c r="X103" s="30"/>
      <c r="Y103" s="30"/>
      <c r="Z103" s="30"/>
      <c r="AA103" s="30"/>
      <c r="AB103" s="30"/>
      <c r="AC103" s="30"/>
    </row>
    <row r="104" ht="12.75" customHeight="1">
      <c r="A104" s="30">
        <f>VINMAX</f>
        <v>58.4</v>
      </c>
      <c r="B104" s="216">
        <f>VINMAX*((ROW()-10)/104)</f>
        <v>52.78461538</v>
      </c>
      <c r="C104" s="196">
        <f t="shared" si="1"/>
        <v>12</v>
      </c>
      <c r="D104" s="205">
        <f t="shared" si="2"/>
        <v>314.4654088</v>
      </c>
      <c r="E104" s="44">
        <f t="shared" si="3"/>
        <v>50</v>
      </c>
      <c r="F104" s="196">
        <f>I_Cout_ss+C104</f>
        <v>13.56820513</v>
      </c>
      <c r="G104" s="196">
        <f t="shared" si="4"/>
        <v>13.56820513</v>
      </c>
      <c r="H104" s="196">
        <f t="shared" si="5"/>
        <v>1.568205128</v>
      </c>
      <c r="I104" s="201">
        <f>(COUTMAX/1000000)*(B104-B103)/H104</f>
        <v>0.0009954545455</v>
      </c>
      <c r="J104" s="201">
        <f t="shared" si="10"/>
        <v>0.09357272727</v>
      </c>
      <c r="K104" s="195">
        <f t="shared" si="6"/>
        <v>93.57272727</v>
      </c>
      <c r="L104" s="202">
        <f t="shared" si="7"/>
        <v>0.1155794089</v>
      </c>
      <c r="M104" s="30">
        <f>1/COUTMAX*(E104/2-C104)*1000</f>
        <v>4.676258993</v>
      </c>
      <c r="N104" s="213">
        <f t="shared" si="8"/>
        <v>0.07584436902</v>
      </c>
      <c r="O104" s="30">
        <f t="shared" si="9"/>
        <v>76.19069034</v>
      </c>
      <c r="P104" s="30">
        <f>(A104-B104)*(I_Cout_ss*$Q$2+C104)</f>
        <v>81.39428008</v>
      </c>
      <c r="Q104" s="30">
        <f>(A104-B104)*(I_Cout_ss*$R$2+C104)</f>
        <v>73.3887574</v>
      </c>
      <c r="R104" s="30"/>
      <c r="S104" s="30"/>
      <c r="T104" s="30"/>
      <c r="U104" s="30"/>
      <c r="V104" s="30"/>
      <c r="W104" s="30"/>
      <c r="X104" s="30"/>
      <c r="Y104" s="30"/>
      <c r="Z104" s="30"/>
      <c r="AA104" s="30"/>
      <c r="AB104" s="30"/>
      <c r="AC104" s="30"/>
    </row>
    <row r="105" ht="12.75" customHeight="1">
      <c r="A105" s="30">
        <f>VINMAX</f>
        <v>58.4</v>
      </c>
      <c r="B105" s="216">
        <f>VINMAX*((ROW()-10)/104)</f>
        <v>53.34615385</v>
      </c>
      <c r="C105" s="196">
        <f t="shared" si="1"/>
        <v>12</v>
      </c>
      <c r="D105" s="205">
        <f t="shared" si="2"/>
        <v>314.4654088</v>
      </c>
      <c r="E105" s="44">
        <f t="shared" si="3"/>
        <v>50</v>
      </c>
      <c r="F105" s="196">
        <f>I_Cout_ss+C105</f>
        <v>13.56820513</v>
      </c>
      <c r="G105" s="196">
        <f t="shared" si="4"/>
        <v>13.56820513</v>
      </c>
      <c r="H105" s="196">
        <f t="shared" si="5"/>
        <v>1.568205128</v>
      </c>
      <c r="I105" s="201">
        <f>(COUTMAX/1000000)*(B105-B104)/H105</f>
        <v>0.0009954545455</v>
      </c>
      <c r="J105" s="201">
        <f t="shared" si="10"/>
        <v>0.09456818182</v>
      </c>
      <c r="K105" s="195">
        <f t="shared" si="6"/>
        <v>94.56818182</v>
      </c>
      <c r="L105" s="202">
        <f t="shared" si="7"/>
        <v>0.1155794089</v>
      </c>
      <c r="M105" s="30">
        <f>1/COUTMAX*(E105/2-C105)*1000</f>
        <v>4.676258993</v>
      </c>
      <c r="N105" s="213">
        <f t="shared" si="8"/>
        <v>0.06825993211</v>
      </c>
      <c r="O105" s="30">
        <f t="shared" si="9"/>
        <v>68.5716213</v>
      </c>
      <c r="P105" s="30">
        <f>(A105-B105)*(I_Cout_ss*$Q$2+C105)</f>
        <v>73.25485207</v>
      </c>
      <c r="Q105" s="30">
        <f>(A105-B105)*(I_Cout_ss*$R$2+C105)</f>
        <v>66.04988166</v>
      </c>
      <c r="R105" s="30"/>
      <c r="S105" s="30"/>
      <c r="T105" s="30"/>
      <c r="U105" s="30"/>
      <c r="V105" s="30"/>
      <c r="W105" s="30"/>
      <c r="X105" s="30"/>
      <c r="Y105" s="30"/>
      <c r="Z105" s="30"/>
      <c r="AA105" s="30"/>
      <c r="AB105" s="30"/>
      <c r="AC105" s="30"/>
    </row>
    <row r="106" ht="12.75" customHeight="1">
      <c r="A106" s="30">
        <f>VINMAX</f>
        <v>58.4</v>
      </c>
      <c r="B106" s="216">
        <f>VINMAX*((ROW()-10)/104)</f>
        <v>53.90769231</v>
      </c>
      <c r="C106" s="196">
        <f t="shared" si="1"/>
        <v>12</v>
      </c>
      <c r="D106" s="205">
        <f t="shared" si="2"/>
        <v>314.4654088</v>
      </c>
      <c r="E106" s="44">
        <f t="shared" si="3"/>
        <v>50</v>
      </c>
      <c r="F106" s="196">
        <f>I_Cout_ss+C106</f>
        <v>13.56820513</v>
      </c>
      <c r="G106" s="196">
        <f t="shared" si="4"/>
        <v>13.56820513</v>
      </c>
      <c r="H106" s="196">
        <f t="shared" si="5"/>
        <v>1.568205128</v>
      </c>
      <c r="I106" s="201">
        <f>(COUTMAX/1000000)*(B106-B105)/H106</f>
        <v>0.0009954545455</v>
      </c>
      <c r="J106" s="201">
        <f t="shared" si="10"/>
        <v>0.09556363636</v>
      </c>
      <c r="K106" s="195">
        <f t="shared" si="6"/>
        <v>95.56363636</v>
      </c>
      <c r="L106" s="202">
        <f t="shared" si="7"/>
        <v>0.1155794089</v>
      </c>
      <c r="M106" s="30">
        <f>1/COUTMAX*(E106/2-C106)*1000</f>
        <v>4.676258993</v>
      </c>
      <c r="N106" s="213">
        <f t="shared" si="8"/>
        <v>0.06067549521</v>
      </c>
      <c r="O106" s="30">
        <f t="shared" si="9"/>
        <v>60.95255227</v>
      </c>
      <c r="P106" s="30">
        <f>(A106-B106)*(I_Cout_ss*$Q$2+C106)</f>
        <v>65.11542406</v>
      </c>
      <c r="Q106" s="30">
        <f>(A106-B106)*(I_Cout_ss*$R$2+C106)</f>
        <v>58.71100592</v>
      </c>
      <c r="R106" s="30"/>
      <c r="S106" s="30"/>
      <c r="T106" s="30"/>
      <c r="U106" s="30"/>
      <c r="V106" s="30"/>
      <c r="W106" s="30"/>
      <c r="X106" s="30"/>
      <c r="Y106" s="30"/>
      <c r="Z106" s="30"/>
      <c r="AA106" s="30"/>
      <c r="AB106" s="30"/>
      <c r="AC106" s="30"/>
    </row>
    <row r="107" ht="12.75" customHeight="1">
      <c r="A107" s="30">
        <f>VINMAX</f>
        <v>58.4</v>
      </c>
      <c r="B107" s="216">
        <f>VINMAX*((ROW()-10)/104)</f>
        <v>54.46923077</v>
      </c>
      <c r="C107" s="196">
        <f t="shared" si="1"/>
        <v>12</v>
      </c>
      <c r="D107" s="205">
        <f t="shared" si="2"/>
        <v>314.4654088</v>
      </c>
      <c r="E107" s="44">
        <f t="shared" si="3"/>
        <v>50</v>
      </c>
      <c r="F107" s="196">
        <f>I_Cout_ss+C107</f>
        <v>13.56820513</v>
      </c>
      <c r="G107" s="196">
        <f t="shared" si="4"/>
        <v>13.56820513</v>
      </c>
      <c r="H107" s="196">
        <f t="shared" si="5"/>
        <v>1.568205128</v>
      </c>
      <c r="I107" s="201">
        <f>(COUTMAX/1000000)*(B107-B106)/H107</f>
        <v>0.0009954545455</v>
      </c>
      <c r="J107" s="201">
        <f t="shared" si="10"/>
        <v>0.09655909091</v>
      </c>
      <c r="K107" s="195">
        <f t="shared" si="6"/>
        <v>96.55909091</v>
      </c>
      <c r="L107" s="202">
        <f t="shared" si="7"/>
        <v>0.1155794089</v>
      </c>
      <c r="M107" s="30">
        <f>1/COUTMAX*(E107/2-C107)*1000</f>
        <v>4.676258993</v>
      </c>
      <c r="N107" s="213">
        <f t="shared" si="8"/>
        <v>0.05309105831</v>
      </c>
      <c r="O107" s="30">
        <f t="shared" si="9"/>
        <v>53.33348323</v>
      </c>
      <c r="P107" s="30">
        <f>(A107-B107)*(I_Cout_ss*$Q$2+C107)</f>
        <v>56.97599606</v>
      </c>
      <c r="Q107" s="30">
        <f>(A107-B107)*(I_Cout_ss*$R$2+C107)</f>
        <v>51.37213018</v>
      </c>
      <c r="R107" s="30"/>
      <c r="S107" s="30"/>
      <c r="T107" s="30"/>
      <c r="U107" s="30"/>
      <c r="V107" s="30"/>
      <c r="W107" s="30"/>
      <c r="X107" s="30"/>
      <c r="Y107" s="30"/>
      <c r="Z107" s="30"/>
      <c r="AA107" s="30"/>
      <c r="AB107" s="30"/>
      <c r="AC107" s="30"/>
    </row>
    <row r="108" ht="12.75" customHeight="1">
      <c r="A108" s="30">
        <f>VINMAX</f>
        <v>58.4</v>
      </c>
      <c r="B108" s="216">
        <f>VINMAX*((ROW()-10)/104)</f>
        <v>55.03076923</v>
      </c>
      <c r="C108" s="196">
        <f t="shared" si="1"/>
        <v>12</v>
      </c>
      <c r="D108" s="205">
        <f t="shared" si="2"/>
        <v>314.4654088</v>
      </c>
      <c r="E108" s="44">
        <f t="shared" si="3"/>
        <v>50</v>
      </c>
      <c r="F108" s="196">
        <f>I_Cout_ss+C108</f>
        <v>13.56820513</v>
      </c>
      <c r="G108" s="196">
        <f t="shared" si="4"/>
        <v>13.56820513</v>
      </c>
      <c r="H108" s="196">
        <f t="shared" si="5"/>
        <v>1.568205128</v>
      </c>
      <c r="I108" s="201">
        <f>(COUTMAX/1000000)*(B108-B107)/H108</f>
        <v>0.0009954545455</v>
      </c>
      <c r="J108" s="201">
        <f t="shared" si="10"/>
        <v>0.09755454545</v>
      </c>
      <c r="K108" s="195">
        <f t="shared" si="6"/>
        <v>97.55454545</v>
      </c>
      <c r="L108" s="202">
        <f t="shared" si="7"/>
        <v>0.1155794089</v>
      </c>
      <c r="M108" s="30">
        <f>1/COUTMAX*(E108/2-C108)*1000</f>
        <v>4.676258993</v>
      </c>
      <c r="N108" s="213">
        <f t="shared" si="8"/>
        <v>0.04550662141</v>
      </c>
      <c r="O108" s="30">
        <f t="shared" si="9"/>
        <v>45.7144142</v>
      </c>
      <c r="P108" s="30">
        <f>(A108-B108)*(I_Cout_ss*$Q$2+C108)</f>
        <v>48.83656805</v>
      </c>
      <c r="Q108" s="30">
        <f>(A108-B108)*(I_Cout_ss*$R$2+C108)</f>
        <v>44.03325444</v>
      </c>
      <c r="R108" s="30"/>
      <c r="S108" s="30"/>
      <c r="T108" s="30"/>
      <c r="U108" s="30"/>
      <c r="V108" s="30"/>
      <c r="W108" s="30"/>
      <c r="X108" s="30"/>
      <c r="Y108" s="30"/>
      <c r="Z108" s="30"/>
      <c r="AA108" s="30"/>
      <c r="AB108" s="30"/>
      <c r="AC108" s="30"/>
    </row>
    <row r="109" ht="12.75" customHeight="1">
      <c r="A109" s="30">
        <f>VINMAX</f>
        <v>58.4</v>
      </c>
      <c r="B109" s="216">
        <f>VINMAX*((ROW()-10)/104)</f>
        <v>55.59230769</v>
      </c>
      <c r="C109" s="196">
        <f t="shared" si="1"/>
        <v>12</v>
      </c>
      <c r="D109" s="205">
        <f t="shared" si="2"/>
        <v>314.4654088</v>
      </c>
      <c r="E109" s="44">
        <f t="shared" si="3"/>
        <v>50</v>
      </c>
      <c r="F109" s="196">
        <f>I_Cout_ss+C109</f>
        <v>13.56820513</v>
      </c>
      <c r="G109" s="196">
        <f t="shared" si="4"/>
        <v>13.56820513</v>
      </c>
      <c r="H109" s="196">
        <f t="shared" si="5"/>
        <v>1.568205128</v>
      </c>
      <c r="I109" s="201">
        <f>(COUTMAX/1000000)*(B109-B108)/H109</f>
        <v>0.0009954545455</v>
      </c>
      <c r="J109" s="201">
        <f t="shared" si="10"/>
        <v>0.09855</v>
      </c>
      <c r="K109" s="195">
        <f t="shared" si="6"/>
        <v>98.55</v>
      </c>
      <c r="L109" s="202">
        <f t="shared" si="7"/>
        <v>0.1155794089</v>
      </c>
      <c r="M109" s="30">
        <f>1/COUTMAX*(E109/2-C109)*1000</f>
        <v>4.676258993</v>
      </c>
      <c r="N109" s="213">
        <f t="shared" si="8"/>
        <v>0.03792218451</v>
      </c>
      <c r="O109" s="30">
        <f t="shared" si="9"/>
        <v>38.09534517</v>
      </c>
      <c r="P109" s="30">
        <f>(A109-B109)*(I_Cout_ss*$Q$2+C109)</f>
        <v>40.69714004</v>
      </c>
      <c r="Q109" s="30">
        <f>(A109-B109)*(I_Cout_ss*$R$2+C109)</f>
        <v>36.6943787</v>
      </c>
      <c r="R109" s="30"/>
      <c r="S109" s="30"/>
      <c r="T109" s="30"/>
      <c r="U109" s="30"/>
      <c r="V109" s="30"/>
      <c r="W109" s="30"/>
      <c r="X109" s="30"/>
      <c r="Y109" s="30"/>
      <c r="Z109" s="30"/>
      <c r="AA109" s="30"/>
      <c r="AB109" s="30"/>
      <c r="AC109" s="30"/>
    </row>
    <row r="110" ht="12.75" customHeight="1">
      <c r="A110" s="30">
        <f>VINMAX</f>
        <v>58.4</v>
      </c>
      <c r="B110" s="216">
        <f>VINMAX*((ROW()-10)/104)</f>
        <v>56.15384615</v>
      </c>
      <c r="C110" s="196">
        <f t="shared" si="1"/>
        <v>12</v>
      </c>
      <c r="D110" s="205">
        <f t="shared" si="2"/>
        <v>314.4654088</v>
      </c>
      <c r="E110" s="44">
        <f t="shared" si="3"/>
        <v>50</v>
      </c>
      <c r="F110" s="196">
        <f>I_Cout_ss+C110</f>
        <v>13.56820513</v>
      </c>
      <c r="G110" s="196">
        <f t="shared" si="4"/>
        <v>13.56820513</v>
      </c>
      <c r="H110" s="196">
        <f t="shared" si="5"/>
        <v>1.568205128</v>
      </c>
      <c r="I110" s="201">
        <f>(COUTMAX/1000000)*(B110-B109)/H110</f>
        <v>0.0009954545455</v>
      </c>
      <c r="J110" s="201">
        <f t="shared" si="10"/>
        <v>0.09954545455</v>
      </c>
      <c r="K110" s="195">
        <f t="shared" si="6"/>
        <v>99.54545455</v>
      </c>
      <c r="L110" s="202">
        <f t="shared" si="7"/>
        <v>0.1155794089</v>
      </c>
      <c r="M110" s="30">
        <f>1/COUTMAX*(E110/2-C110)*1000</f>
        <v>4.676258993</v>
      </c>
      <c r="N110" s="213">
        <f t="shared" si="8"/>
        <v>0.03033774761</v>
      </c>
      <c r="O110" s="30">
        <f t="shared" si="9"/>
        <v>30.47627613</v>
      </c>
      <c r="P110" s="30">
        <f>(A110-B110)*(I_Cout_ss*$Q$2+C110)</f>
        <v>32.55771203</v>
      </c>
      <c r="Q110" s="30">
        <f>(A110-B110)*(I_Cout_ss*$R$2+C110)</f>
        <v>29.35550296</v>
      </c>
      <c r="R110" s="30"/>
      <c r="S110" s="30"/>
      <c r="T110" s="30"/>
      <c r="U110" s="30"/>
      <c r="V110" s="30"/>
      <c r="W110" s="30"/>
      <c r="X110" s="30"/>
      <c r="Y110" s="30"/>
      <c r="Z110" s="30"/>
      <c r="AA110" s="30"/>
      <c r="AB110" s="30"/>
      <c r="AC110" s="30"/>
    </row>
    <row r="111" ht="12.75" customHeight="1">
      <c r="A111" s="30">
        <f>VINMAX</f>
        <v>58.4</v>
      </c>
      <c r="B111" s="216">
        <f>VINMAX*((ROW()-10)/104)</f>
        <v>56.71538462</v>
      </c>
      <c r="C111" s="196">
        <f t="shared" si="1"/>
        <v>12</v>
      </c>
      <c r="D111" s="205">
        <f t="shared" si="2"/>
        <v>314.4654088</v>
      </c>
      <c r="E111" s="195">
        <f t="shared" ref="E111:E114" si="11">$C$2</f>
        <v>50</v>
      </c>
      <c r="F111" s="196">
        <f>I_Cout_ss+C111</f>
        <v>13.56820513</v>
      </c>
      <c r="G111" s="196">
        <f t="shared" si="4"/>
        <v>13.56820513</v>
      </c>
      <c r="H111" s="196">
        <f t="shared" si="5"/>
        <v>1.568205128</v>
      </c>
      <c r="I111" s="201">
        <f>(COUTMAX/1000000)*(B111-B110)/H111</f>
        <v>0.0009954545455</v>
      </c>
      <c r="J111" s="201">
        <f t="shared" si="10"/>
        <v>0.1005409091</v>
      </c>
      <c r="K111" s="195">
        <f t="shared" si="6"/>
        <v>100.5409091</v>
      </c>
      <c r="L111" s="202">
        <f t="shared" si="7"/>
        <v>0.1155794089</v>
      </c>
      <c r="M111" s="30">
        <f>1/COUTMAX*(E111/2-C111)*1000</f>
        <v>4.676258993</v>
      </c>
      <c r="N111" s="213">
        <f t="shared" si="8"/>
        <v>0.0227533107</v>
      </c>
      <c r="O111" s="30">
        <f t="shared" si="9"/>
        <v>22.8572071</v>
      </c>
      <c r="P111" s="30">
        <f>(A111-B111)*(I_Cout_ss*$Q$2+C111)</f>
        <v>24.41828402</v>
      </c>
      <c r="Q111" s="30">
        <f>(A111-B111)*(I_Cout_ss*$R$2+C111)</f>
        <v>22.01662722</v>
      </c>
      <c r="R111" s="30"/>
      <c r="S111" s="30"/>
      <c r="T111" s="30"/>
      <c r="U111" s="30"/>
      <c r="V111" s="30"/>
      <c r="W111" s="30"/>
      <c r="X111" s="30"/>
      <c r="Y111" s="30"/>
      <c r="Z111" s="30"/>
      <c r="AA111" s="30"/>
      <c r="AB111" s="30"/>
      <c r="AC111" s="30"/>
    </row>
    <row r="112" ht="12.75" customHeight="1">
      <c r="A112" s="30">
        <f>VINMAX</f>
        <v>58.4</v>
      </c>
      <c r="B112" s="216">
        <f>VINMAX*((ROW()-10)/104)</f>
        <v>57.27692308</v>
      </c>
      <c r="C112" s="196">
        <f t="shared" si="1"/>
        <v>12</v>
      </c>
      <c r="D112" s="205">
        <f t="shared" si="2"/>
        <v>314.4654088</v>
      </c>
      <c r="E112" s="195">
        <f t="shared" si="11"/>
        <v>50</v>
      </c>
      <c r="F112" s="196">
        <f>I_Cout_ss+C112</f>
        <v>13.56820513</v>
      </c>
      <c r="G112" s="196">
        <f t="shared" si="4"/>
        <v>13.56820513</v>
      </c>
      <c r="H112" s="196">
        <f t="shared" si="5"/>
        <v>1.568205128</v>
      </c>
      <c r="I112" s="201">
        <f>(COUTMAX/1000000)*(B112-B111)/H112</f>
        <v>0.0009954545455</v>
      </c>
      <c r="J112" s="201">
        <f t="shared" si="10"/>
        <v>0.1015363636</v>
      </c>
      <c r="K112" s="195">
        <f t="shared" si="6"/>
        <v>101.5363636</v>
      </c>
      <c r="L112" s="202">
        <f t="shared" si="7"/>
        <v>0.1155794089</v>
      </c>
      <c r="M112" s="30">
        <f>1/COUTMAX*(E112/2-C112)*1000</f>
        <v>4.676258993</v>
      </c>
      <c r="N112" s="213">
        <f t="shared" si="8"/>
        <v>0.0151688738</v>
      </c>
      <c r="O112" s="30">
        <f t="shared" si="9"/>
        <v>15.23813807</v>
      </c>
      <c r="P112" s="30">
        <f>(A112-B112)*(I_Cout_ss*$Q$2+C112)</f>
        <v>16.27885602</v>
      </c>
      <c r="Q112" s="30">
        <f>(A112-B112)*(I_Cout_ss*$R$2+C112)</f>
        <v>14.67775148</v>
      </c>
      <c r="R112" s="30"/>
      <c r="S112" s="30"/>
      <c r="T112" s="30"/>
      <c r="U112" s="30"/>
      <c r="V112" s="30"/>
      <c r="W112" s="30"/>
      <c r="X112" s="30"/>
      <c r="Y112" s="30"/>
      <c r="Z112" s="30"/>
      <c r="AA112" s="30"/>
      <c r="AB112" s="30"/>
      <c r="AC112" s="30"/>
    </row>
    <row r="113" ht="12.75" customHeight="1">
      <c r="A113" s="30">
        <f>VINMAX</f>
        <v>58.4</v>
      </c>
      <c r="B113" s="216">
        <f>VINMAX*((ROW()-10)/104)</f>
        <v>57.83846154</v>
      </c>
      <c r="C113" s="196">
        <f t="shared" si="1"/>
        <v>12</v>
      </c>
      <c r="D113" s="205">
        <f t="shared" si="2"/>
        <v>314.4654088</v>
      </c>
      <c r="E113" s="195">
        <f t="shared" si="11"/>
        <v>50</v>
      </c>
      <c r="F113" s="196">
        <f>I_Cout_ss+C113</f>
        <v>13.56820513</v>
      </c>
      <c r="G113" s="196">
        <f t="shared" si="4"/>
        <v>13.56820513</v>
      </c>
      <c r="H113" s="196">
        <f t="shared" si="5"/>
        <v>1.568205128</v>
      </c>
      <c r="I113" s="201">
        <f>(COUTMAX/1000000)*(B113-B112)/H113</f>
        <v>0.0009954545455</v>
      </c>
      <c r="J113" s="201">
        <f t="shared" si="10"/>
        <v>0.1025318182</v>
      </c>
      <c r="K113" s="195">
        <f t="shared" si="6"/>
        <v>102.5318182</v>
      </c>
      <c r="L113" s="202">
        <f t="shared" si="7"/>
        <v>0.1155794089</v>
      </c>
      <c r="M113" s="30">
        <f>1/COUTMAX*(E113/2-C113)*1000</f>
        <v>4.676258993</v>
      </c>
      <c r="N113" s="213">
        <f t="shared" si="8"/>
        <v>0.007584436902</v>
      </c>
      <c r="O113" s="30">
        <f t="shared" si="9"/>
        <v>7.619069034</v>
      </c>
      <c r="P113" s="30">
        <f>(A113-B113)*(I_Cout_ss*$Q$2+C113)</f>
        <v>8.139428008</v>
      </c>
      <c r="Q113" s="30">
        <f>(A113-B113)*(I_Cout_ss*$R$2+C113)</f>
        <v>7.33887574</v>
      </c>
      <c r="R113" s="30"/>
      <c r="S113" s="30"/>
      <c r="T113" s="30"/>
      <c r="U113" s="30"/>
      <c r="V113" s="30"/>
      <c r="W113" s="30"/>
      <c r="X113" s="30"/>
      <c r="Y113" s="30"/>
      <c r="Z113" s="30"/>
      <c r="AA113" s="30"/>
      <c r="AB113" s="30"/>
      <c r="AC113" s="30"/>
    </row>
    <row r="114" ht="12.75" customHeight="1">
      <c r="A114" s="30">
        <f>VINMAX</f>
        <v>58.4</v>
      </c>
      <c r="B114" s="216">
        <f>VINMAX*((ROW()-10)/104)</f>
        <v>58.4</v>
      </c>
      <c r="C114" s="196">
        <f t="shared" si="1"/>
        <v>12</v>
      </c>
      <c r="D114" s="205">
        <f t="shared" si="2"/>
        <v>314.4654088</v>
      </c>
      <c r="E114" s="195">
        <f t="shared" si="11"/>
        <v>50</v>
      </c>
      <c r="F114" s="196">
        <f>I_Cout_ss+C114</f>
        <v>13.56820513</v>
      </c>
      <c r="G114" s="196">
        <f t="shared" si="4"/>
        <v>13.56820513</v>
      </c>
      <c r="H114" s="196">
        <f t="shared" si="5"/>
        <v>1.568205128</v>
      </c>
      <c r="I114" s="201">
        <f>(COUTMAX/1000000)*(B114-B113)/H114</f>
        <v>0.0009954545455</v>
      </c>
      <c r="J114" s="201">
        <f t="shared" si="10"/>
        <v>0.1035272727</v>
      </c>
      <c r="K114" s="195">
        <f t="shared" si="6"/>
        <v>103.5272727</v>
      </c>
      <c r="L114" s="202">
        <f t="shared" si="7"/>
        <v>0.1155794089</v>
      </c>
      <c r="M114" s="30">
        <f>1/COUTMAX*(E114/2-C114)*1000</f>
        <v>4.676258993</v>
      </c>
      <c r="N114" s="213">
        <f t="shared" si="8"/>
        <v>0</v>
      </c>
      <c r="O114" s="30">
        <f t="shared" si="9"/>
        <v>0</v>
      </c>
      <c r="P114" s="30">
        <f>(A114-B114)*(I_Cout_ss*$Q$2+C114)</f>
        <v>0</v>
      </c>
      <c r="Q114" s="30">
        <f>(A114-B114)*(I_Cout_ss*$R$2+C114)</f>
        <v>0</v>
      </c>
      <c r="R114" s="30"/>
      <c r="S114" s="30"/>
      <c r="T114" s="30"/>
      <c r="U114" s="30"/>
      <c r="V114" s="30"/>
      <c r="W114" s="30"/>
      <c r="X114" s="30"/>
      <c r="Y114" s="30"/>
      <c r="Z114" s="30"/>
      <c r="AA114" s="30"/>
      <c r="AB114" s="30"/>
      <c r="AC114" s="30"/>
    </row>
    <row r="115" ht="12.75" customHeight="1">
      <c r="A115" s="30"/>
      <c r="B115" s="30"/>
      <c r="C115" s="30"/>
      <c r="D115" s="30"/>
      <c r="E115" s="30"/>
      <c r="F115" s="30"/>
      <c r="G115" s="30"/>
      <c r="H115" s="30"/>
      <c r="I115" s="30"/>
      <c r="J115" s="30"/>
      <c r="K115" s="126">
        <f>K114+0.5</f>
        <v>104.0272727</v>
      </c>
      <c r="L115" s="30"/>
      <c r="M115" s="30"/>
      <c r="N115" s="30">
        <v>0.0</v>
      </c>
      <c r="O115" s="30">
        <v>0.0</v>
      </c>
      <c r="P115" s="30"/>
      <c r="Q115" s="30"/>
      <c r="R115" s="30"/>
      <c r="S115" s="30"/>
      <c r="T115" s="30"/>
      <c r="U115" s="30"/>
      <c r="V115" s="30"/>
      <c r="W115" s="30"/>
      <c r="X115" s="30"/>
      <c r="Y115" s="30"/>
      <c r="Z115" s="30"/>
      <c r="AA115" s="30"/>
      <c r="AB115" s="30"/>
      <c r="AC115" s="30"/>
    </row>
    <row r="116" ht="12.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row>
    <row r="117" ht="12.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row>
    <row r="118" ht="12.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row>
    <row r="119" ht="12.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row>
    <row r="120" ht="12.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row>
    <row r="121" ht="12.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row>
    <row r="122" ht="12.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row>
    <row r="123" ht="12.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row>
    <row r="124" ht="12.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row>
    <row r="125" ht="12.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row>
    <row r="126" ht="12.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row>
    <row r="127" ht="12.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row>
    <row r="128" ht="12.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row>
    <row r="129" ht="12.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row>
    <row r="130" ht="12.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row>
    <row r="131" ht="12.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row>
    <row r="132" ht="12.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row>
    <row r="133" ht="12.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row>
    <row r="134" ht="12.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row>
    <row r="135" ht="12.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row>
    <row r="136" ht="12.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row>
    <row r="137" ht="12.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row>
    <row r="138" ht="12.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row>
    <row r="139" ht="12.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row>
    <row r="140" ht="12.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row>
    <row r="141" ht="12.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row>
    <row r="142" ht="12.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row>
    <row r="143" ht="12.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row>
    <row r="144" ht="12.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row>
    <row r="145" ht="12.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row>
    <row r="146" ht="12.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row>
    <row r="147" ht="12.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row>
    <row r="148" ht="12.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row>
    <row r="149" ht="12.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row>
    <row r="150" ht="12.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row>
    <row r="151" ht="12.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row>
    <row r="152" ht="12.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row>
    <row r="153" ht="12.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row>
    <row r="154" ht="12.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row>
    <row r="155" ht="12.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row>
    <row r="156" ht="12.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row>
    <row r="157" ht="12.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row>
    <row r="158" ht="12.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row>
    <row r="159" ht="12.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row>
    <row r="160" ht="12.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row>
    <row r="161" ht="12.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row>
    <row r="162" ht="12.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row>
    <row r="163" ht="12.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row>
    <row r="164" ht="12.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row>
    <row r="165" ht="12.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row>
    <row r="166" ht="12.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row>
    <row r="167" ht="12.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row>
    <row r="168" ht="12.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row>
    <row r="169" ht="12.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row>
    <row r="170" ht="12.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row>
    <row r="171" ht="12.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row>
    <row r="172" ht="12.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row>
    <row r="173" ht="12.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row>
    <row r="174" ht="12.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row>
    <row r="175" ht="12.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row>
    <row r="176" ht="12.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row>
    <row r="177" ht="12.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row>
    <row r="178" ht="12.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row>
    <row r="179" ht="12.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row>
    <row r="180" ht="12.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row>
    <row r="181" ht="12.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row>
    <row r="182" ht="12.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row>
    <row r="183" ht="12.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row>
    <row r="184" ht="12.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row>
    <row r="185" ht="12.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row>
    <row r="186" ht="12.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row>
    <row r="187" ht="12.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row>
    <row r="188" ht="12.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row>
    <row r="189" ht="12.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row>
    <row r="190" ht="12.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row>
    <row r="191" ht="12.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row>
    <row r="192" ht="12.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row>
    <row r="193" ht="12.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row>
    <row r="194" ht="12.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row>
    <row r="195" ht="12.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row>
    <row r="196" ht="12.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row>
    <row r="197" ht="12.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row>
    <row r="198" ht="12.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row>
    <row r="199" ht="12.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row>
    <row r="200" ht="12.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row>
    <row r="201" ht="12.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row>
    <row r="202" ht="12.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row>
    <row r="203" ht="12.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row>
    <row r="204" ht="12.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row>
    <row r="205" ht="12.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row>
    <row r="206" ht="12.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row>
    <row r="207" ht="12.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row>
    <row r="208" ht="12.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row>
    <row r="209" ht="12.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row>
    <row r="210" ht="12.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row>
    <row r="211" ht="12.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row>
    <row r="212" ht="12.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row>
    <row r="213" ht="12.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row>
    <row r="214" ht="12.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row>
    <row r="215" ht="12.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row>
    <row r="216" ht="12.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row>
    <row r="217" ht="12.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row>
    <row r="218" ht="12.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row>
    <row r="219" ht="12.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row>
    <row r="220" ht="12.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row>
    <row r="221" ht="12.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row>
    <row r="222" ht="12.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row>
    <row r="223" ht="12.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row>
    <row r="224" ht="12.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row>
    <row r="225" ht="12.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row>
    <row r="226" ht="12.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row>
    <row r="227" ht="12.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row>
    <row r="228" ht="12.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row>
    <row r="229" ht="12.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row>
    <row r="230" ht="12.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row>
    <row r="231" ht="12.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row>
    <row r="232" ht="12.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row>
    <row r="233" ht="12.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row>
    <row r="234" ht="12.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row>
    <row r="235" ht="12.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row>
    <row r="236" ht="12.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row>
    <row r="237" ht="12.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row>
    <row r="238" ht="12.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row>
    <row r="239" ht="12.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row>
    <row r="240" ht="12.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row>
    <row r="241" ht="12.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row>
    <row r="242" ht="12.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row>
    <row r="243" ht="12.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row>
    <row r="244" ht="12.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row>
    <row r="245" ht="12.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row>
    <row r="246" ht="12.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row>
    <row r="247" ht="12.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row>
    <row r="248" ht="12.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row>
    <row r="249" ht="12.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row>
    <row r="250" ht="12.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row>
    <row r="251" ht="12.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row>
    <row r="252" ht="12.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row>
    <row r="253" ht="12.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row>
    <row r="254" ht="12.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row>
    <row r="255" ht="12.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row>
    <row r="256" ht="12.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row>
    <row r="257" ht="12.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row>
    <row r="258" ht="12.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row>
    <row r="259" ht="12.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row>
    <row r="260" ht="12.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row>
    <row r="261" ht="12.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row>
    <row r="262" ht="12.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row>
    <row r="263" ht="12.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row>
    <row r="264" ht="12.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row>
    <row r="265" ht="12.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row>
    <row r="266" ht="12.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row>
    <row r="267" ht="12.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row>
    <row r="268" ht="12.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row>
    <row r="269" ht="12.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row>
    <row r="270" ht="12.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row>
    <row r="271" ht="12.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row>
    <row r="272" ht="12.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row>
    <row r="273" ht="12.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row>
    <row r="274" ht="12.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row>
    <row r="275" ht="12.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row>
    <row r="276" ht="12.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row>
    <row r="277" ht="12.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row>
    <row r="278" ht="12.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row>
    <row r="279" ht="12.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row>
    <row r="280" ht="12.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row>
    <row r="281" ht="12.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row>
    <row r="282" ht="12.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row>
    <row r="283" ht="12.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row>
    <row r="284" ht="12.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row>
    <row r="285" ht="12.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row>
    <row r="286" ht="12.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row>
    <row r="287" ht="12.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row>
    <row r="288" ht="12.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row>
    <row r="289" ht="12.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row>
    <row r="290" ht="12.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row>
    <row r="291" ht="12.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row>
    <row r="292" ht="12.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row>
    <row r="293" ht="12.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row>
    <row r="294" ht="12.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row>
    <row r="295" ht="12.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row>
    <row r="296" ht="12.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row>
    <row r="297" ht="12.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row>
    <row r="298" ht="12.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row>
    <row r="299" ht="12.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row>
    <row r="300" ht="12.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row>
    <row r="301" ht="12.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row>
    <row r="302" ht="12.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row>
    <row r="303" ht="12.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row>
    <row r="304" ht="12.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row>
    <row r="305" ht="12.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row>
    <row r="306" ht="12.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row>
    <row r="307" ht="12.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row>
    <row r="308" ht="12.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row>
    <row r="309" ht="12.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row>
    <row r="310" ht="12.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row>
    <row r="311" ht="12.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row>
    <row r="312" ht="12.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row>
    <row r="313" ht="12.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row>
    <row r="314" ht="12.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row>
    <row r="315" ht="12.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row>
    <row r="316" ht="12.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row>
    <row r="317" ht="12.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row>
    <row r="318" ht="12.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row>
    <row r="319" ht="12.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row>
    <row r="320" ht="12.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row>
    <row r="321" ht="12.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row>
    <row r="322" ht="12.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row>
    <row r="323" ht="12.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row>
    <row r="324" ht="12.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row>
    <row r="325" ht="12.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row>
    <row r="326" ht="12.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row>
    <row r="327" ht="12.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row>
    <row r="328" ht="12.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row>
    <row r="329" ht="12.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row>
    <row r="330" ht="12.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row>
    <row r="331" ht="12.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row>
    <row r="332" ht="12.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row>
    <row r="333" ht="12.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row>
    <row r="334" ht="12.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row>
    <row r="335" ht="12.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row>
    <row r="336" ht="12.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row>
    <row r="337" ht="12.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row>
    <row r="338" ht="12.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row>
    <row r="339" ht="12.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row>
    <row r="340" ht="12.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row>
    <row r="341" ht="12.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row>
    <row r="342" ht="12.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row>
    <row r="343" ht="12.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row>
    <row r="344" ht="12.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row>
    <row r="345" ht="12.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row>
    <row r="346" ht="12.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row>
    <row r="347" ht="12.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row>
    <row r="348" ht="12.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row>
    <row r="349" ht="12.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row>
    <row r="350" ht="12.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row>
    <row r="351" ht="12.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row>
    <row r="352" ht="12.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row>
    <row r="353" ht="12.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row>
    <row r="354" ht="12.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row>
    <row r="355" ht="12.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row>
    <row r="356" ht="12.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row>
    <row r="357" ht="12.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row>
    <row r="358" ht="12.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row>
    <row r="359" ht="12.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row>
    <row r="360" ht="12.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row>
    <row r="361" ht="12.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row>
    <row r="362" ht="12.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row>
    <row r="363" ht="12.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row>
    <row r="364" ht="12.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row>
    <row r="365" ht="12.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row>
    <row r="366" ht="12.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row>
    <row r="367" ht="12.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row>
    <row r="368" ht="12.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row>
    <row r="369" ht="12.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row>
    <row r="370" ht="12.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row>
    <row r="371" ht="12.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row>
    <row r="372" ht="12.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row>
    <row r="373" ht="12.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row>
    <row r="374" ht="12.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row>
    <row r="375" ht="12.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row>
    <row r="376" ht="12.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row>
    <row r="377" ht="12.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row>
    <row r="378" ht="12.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row>
    <row r="379" ht="12.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row>
    <row r="380" ht="12.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row>
    <row r="381" ht="12.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row>
    <row r="382" ht="12.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row>
    <row r="383" ht="12.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row>
    <row r="384" ht="12.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row>
    <row r="385" ht="12.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row>
    <row r="386" ht="12.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row>
    <row r="387" ht="12.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row>
    <row r="388" ht="12.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row>
    <row r="389" ht="12.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row>
    <row r="390" ht="12.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row>
    <row r="391" ht="12.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row>
    <row r="392" ht="12.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row>
    <row r="393" ht="12.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row>
    <row r="394" ht="12.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row>
    <row r="395" ht="12.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row>
    <row r="396" ht="12.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row>
    <row r="397" ht="12.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row>
    <row r="398" ht="12.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row>
    <row r="399" ht="12.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row>
    <row r="400" ht="12.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row>
    <row r="401" ht="12.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row>
    <row r="402" ht="12.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row>
    <row r="403" ht="12.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row>
    <row r="404" ht="12.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row>
    <row r="405" ht="12.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row>
    <row r="406" ht="12.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row>
    <row r="407" ht="12.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row>
    <row r="408" ht="12.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row>
    <row r="409" ht="12.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row>
    <row r="410" ht="12.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row>
    <row r="411" ht="12.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row>
    <row r="412" ht="12.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row>
    <row r="413" ht="12.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row>
    <row r="414" ht="12.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row>
    <row r="415" ht="12.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row>
    <row r="416" ht="12.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row>
    <row r="417" ht="12.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row>
    <row r="418" ht="12.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row>
    <row r="419" ht="12.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row>
    <row r="420" ht="12.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row>
    <row r="421" ht="12.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row>
    <row r="422" ht="12.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row>
    <row r="423" ht="12.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row>
    <row r="424" ht="12.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row>
    <row r="425" ht="12.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row>
    <row r="426" ht="12.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row>
    <row r="427" ht="12.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row>
    <row r="428" ht="12.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row>
    <row r="429" ht="12.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row>
    <row r="430" ht="12.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row>
    <row r="431" ht="12.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row>
    <row r="432" ht="12.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row>
    <row r="433" ht="12.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row>
    <row r="434" ht="12.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row>
    <row r="435" ht="12.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row>
    <row r="436" ht="12.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row>
    <row r="437" ht="12.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row>
    <row r="438" ht="12.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row>
    <row r="439" ht="12.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row>
    <row r="440" ht="12.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row>
    <row r="441" ht="12.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row>
    <row r="442" ht="12.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row>
    <row r="443" ht="12.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row>
    <row r="444" ht="12.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row>
    <row r="445" ht="12.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row>
    <row r="446" ht="12.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row>
    <row r="447" ht="12.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row>
    <row r="448" ht="12.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row>
    <row r="449" ht="12.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row>
    <row r="450" ht="12.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row>
    <row r="451" ht="12.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row>
    <row r="452" ht="12.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row>
    <row r="453" ht="12.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row>
    <row r="454" ht="12.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row>
    <row r="455" ht="12.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row>
    <row r="456" ht="12.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row>
    <row r="457" ht="12.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row>
    <row r="458" ht="12.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row>
    <row r="459" ht="12.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row>
    <row r="460" ht="12.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row>
    <row r="461" ht="12.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row>
    <row r="462" ht="12.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row>
    <row r="463" ht="12.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row>
    <row r="464" ht="12.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row>
    <row r="465" ht="12.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row>
    <row r="466" ht="12.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row>
    <row r="467" ht="12.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row>
    <row r="468" ht="12.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row>
    <row r="469" ht="12.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row>
    <row r="470" ht="12.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row>
    <row r="471" ht="12.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row>
    <row r="472" ht="12.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row>
    <row r="473" ht="12.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row>
    <row r="474" ht="12.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row>
    <row r="475" ht="12.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row>
    <row r="476" ht="12.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row>
    <row r="477" ht="12.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row>
    <row r="478" ht="12.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row>
    <row r="479" ht="12.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row>
    <row r="480" ht="12.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row>
    <row r="481" ht="12.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row>
    <row r="482" ht="12.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row>
    <row r="483" ht="12.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row>
    <row r="484" ht="12.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row>
    <row r="485" ht="12.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row>
    <row r="486" ht="12.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row>
    <row r="487" ht="12.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row>
    <row r="488" ht="12.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row>
    <row r="489" ht="12.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row>
    <row r="490" ht="12.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row>
    <row r="491" ht="12.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row>
    <row r="492" ht="12.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row>
    <row r="493" ht="12.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row>
    <row r="494" ht="12.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row>
    <row r="495" ht="12.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row>
    <row r="496" ht="12.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row>
    <row r="497" ht="12.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row>
    <row r="498" ht="12.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row>
    <row r="499" ht="12.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row>
    <row r="500" ht="12.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row>
    <row r="501" ht="12.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row>
    <row r="502" ht="12.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row>
    <row r="503" ht="12.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row>
    <row r="504" ht="12.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row>
    <row r="505" ht="12.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row>
    <row r="506" ht="12.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row>
    <row r="507" ht="12.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row>
    <row r="508" ht="12.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row>
    <row r="509" ht="12.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row>
    <row r="510" ht="12.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row>
    <row r="511" ht="12.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row>
    <row r="512" ht="12.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row>
    <row r="513" ht="12.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row>
    <row r="514" ht="12.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row>
    <row r="515" ht="12.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row>
    <row r="516" ht="12.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row>
    <row r="517" ht="12.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row>
    <row r="518" ht="12.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row>
    <row r="519" ht="12.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row>
    <row r="520" ht="12.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row>
    <row r="521" ht="12.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row>
    <row r="522" ht="12.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row>
    <row r="523" ht="12.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row>
    <row r="524" ht="12.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row>
    <row r="525" ht="12.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row>
    <row r="526" ht="12.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row>
    <row r="527" ht="12.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row>
    <row r="528" ht="12.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row>
    <row r="529" ht="12.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row>
    <row r="530" ht="12.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row>
    <row r="531" ht="12.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row>
    <row r="532" ht="12.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row>
    <row r="533" ht="12.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row>
    <row r="534" ht="12.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row>
    <row r="535" ht="12.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row>
    <row r="536" ht="12.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row>
    <row r="537" ht="12.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row>
    <row r="538" ht="12.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row>
    <row r="539" ht="12.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row>
    <row r="540" ht="12.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row>
    <row r="541" ht="12.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row>
    <row r="542" ht="12.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row>
    <row r="543" ht="12.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row>
    <row r="544" ht="12.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row>
    <row r="545" ht="12.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row>
    <row r="546" ht="12.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row>
    <row r="547" ht="12.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row>
    <row r="548" ht="12.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row>
    <row r="549" ht="12.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row>
    <row r="550" ht="12.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row>
    <row r="551" ht="12.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row>
    <row r="552" ht="12.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row>
    <row r="553" ht="12.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row>
    <row r="554" ht="12.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row>
    <row r="555" ht="12.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row>
    <row r="556" ht="12.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row>
    <row r="557" ht="12.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row>
    <row r="558" ht="12.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row>
    <row r="559" ht="12.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row>
    <row r="560" ht="12.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row>
    <row r="561" ht="12.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row>
    <row r="562" ht="12.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row>
    <row r="563" ht="12.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row>
    <row r="564" ht="12.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row>
    <row r="565" ht="12.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row>
    <row r="566" ht="12.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row>
    <row r="567" ht="12.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row>
    <row r="568" ht="12.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row>
    <row r="569" ht="12.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row>
    <row r="570" ht="12.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row>
    <row r="571" ht="12.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row>
    <row r="572" ht="12.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row>
    <row r="573" ht="12.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row>
    <row r="574" ht="12.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row>
    <row r="575" ht="12.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row>
    <row r="576" ht="12.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row>
    <row r="577" ht="12.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row>
    <row r="578" ht="12.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row>
    <row r="579" ht="12.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row>
    <row r="580" ht="12.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row>
    <row r="581" ht="12.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row>
    <row r="582" ht="12.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row>
    <row r="583" ht="12.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row>
    <row r="584" ht="12.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row>
    <row r="585" ht="12.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row>
    <row r="586" ht="12.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row>
    <row r="587" ht="12.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row>
    <row r="588" ht="12.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row>
    <row r="589" ht="12.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row>
    <row r="590" ht="12.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row>
    <row r="591" ht="12.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row>
    <row r="592" ht="12.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row>
    <row r="593" ht="12.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row>
    <row r="594" ht="12.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row>
    <row r="595" ht="12.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row>
    <row r="596" ht="12.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row>
    <row r="597" ht="12.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row>
    <row r="598" ht="12.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row>
    <row r="599" ht="12.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row>
    <row r="600" ht="12.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row>
    <row r="601" ht="12.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row>
    <row r="602" ht="12.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row>
    <row r="603" ht="12.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row>
    <row r="604" ht="12.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row>
    <row r="605" ht="12.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row>
    <row r="606" ht="12.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row>
    <row r="607" ht="12.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row>
    <row r="608" ht="12.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row>
    <row r="609" ht="12.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row>
    <row r="610" ht="12.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row>
    <row r="611" ht="12.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row>
    <row r="612" ht="12.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row>
    <row r="613" ht="12.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row>
    <row r="614" ht="12.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row>
    <row r="615" ht="12.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row>
    <row r="616" ht="12.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row>
    <row r="617" ht="12.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row>
    <row r="618" ht="12.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row>
    <row r="619" ht="12.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row>
    <row r="620" ht="12.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row>
    <row r="621" ht="12.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row>
    <row r="622" ht="12.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row>
    <row r="623" ht="12.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row>
    <row r="624" ht="12.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row>
    <row r="625" ht="12.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row>
    <row r="626" ht="12.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row>
    <row r="627" ht="12.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row>
    <row r="628" ht="12.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row>
    <row r="629" ht="12.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row>
    <row r="630" ht="12.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row>
    <row r="631" ht="12.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row>
    <row r="632" ht="12.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row>
    <row r="633" ht="12.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row>
    <row r="634" ht="12.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row>
    <row r="635" ht="12.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row>
    <row r="636" ht="12.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row>
    <row r="637" ht="12.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c r="AC637" s="30"/>
    </row>
    <row r="638" ht="12.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c r="AC638" s="30"/>
    </row>
    <row r="639" ht="12.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c r="AC639" s="30"/>
    </row>
    <row r="640" ht="12.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c r="AC640" s="30"/>
    </row>
    <row r="641" ht="12.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c r="AC641" s="30"/>
    </row>
    <row r="642" ht="12.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c r="AB642" s="30"/>
      <c r="AC642" s="30"/>
    </row>
    <row r="643" ht="12.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c r="AB643" s="30"/>
      <c r="AC643" s="30"/>
    </row>
    <row r="644" ht="12.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c r="AB644" s="30"/>
      <c r="AC644" s="30"/>
    </row>
    <row r="645" ht="12.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c r="AC645" s="30"/>
    </row>
    <row r="646" ht="12.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row>
    <row r="647" ht="12.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row>
    <row r="648" ht="12.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c r="AB648" s="30"/>
      <c r="AC648" s="30"/>
    </row>
    <row r="649" ht="12.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c r="AC649" s="30"/>
    </row>
    <row r="650" ht="12.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c r="AB650" s="30"/>
      <c r="AC650" s="30"/>
    </row>
    <row r="651" ht="12.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c r="AB651" s="30"/>
      <c r="AC651" s="30"/>
    </row>
    <row r="652" ht="12.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c r="AB652" s="30"/>
      <c r="AC652" s="30"/>
    </row>
    <row r="653" ht="12.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c r="AC653" s="30"/>
    </row>
    <row r="654" ht="12.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c r="AB654" s="30"/>
      <c r="AC654" s="30"/>
    </row>
    <row r="655" ht="12.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c r="AB655" s="30"/>
      <c r="AC655" s="30"/>
    </row>
    <row r="656" ht="12.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row>
    <row r="657" ht="12.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c r="AC657" s="30"/>
    </row>
    <row r="658" ht="12.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c r="AB658" s="30"/>
      <c r="AC658" s="30"/>
    </row>
    <row r="659" ht="12.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c r="AB659" s="30"/>
      <c r="AC659" s="30"/>
    </row>
    <row r="660" ht="12.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c r="AB660" s="30"/>
      <c r="AC660" s="30"/>
    </row>
    <row r="661" ht="12.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c r="AC661" s="30"/>
    </row>
    <row r="662" ht="12.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c r="AB662" s="30"/>
      <c r="AC662" s="30"/>
    </row>
    <row r="663" ht="12.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c r="AB663" s="30"/>
      <c r="AC663" s="30"/>
    </row>
    <row r="664" ht="12.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c r="AB664" s="30"/>
      <c r="AC664" s="30"/>
    </row>
    <row r="665" ht="12.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c r="AB665" s="30"/>
      <c r="AC665" s="30"/>
    </row>
    <row r="666" ht="12.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row>
    <row r="667" ht="12.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c r="AB667" s="30"/>
      <c r="AC667" s="30"/>
    </row>
    <row r="668" ht="12.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c r="AB668" s="30"/>
      <c r="AC668" s="30"/>
    </row>
    <row r="669" ht="12.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c r="AB669" s="30"/>
      <c r="AC669" s="30"/>
    </row>
    <row r="670" ht="12.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c r="AB670" s="30"/>
      <c r="AC670" s="30"/>
    </row>
    <row r="671" ht="12.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c r="AB671" s="30"/>
      <c r="AC671" s="30"/>
    </row>
    <row r="672" ht="12.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c r="AB672" s="30"/>
      <c r="AC672" s="30"/>
    </row>
    <row r="673" ht="12.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c r="AB673" s="30"/>
      <c r="AC673" s="30"/>
    </row>
    <row r="674" ht="12.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c r="AB674" s="30"/>
      <c r="AC674" s="30"/>
    </row>
    <row r="675" ht="12.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c r="AB675" s="30"/>
      <c r="AC675" s="30"/>
    </row>
    <row r="676" ht="12.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row>
    <row r="677" ht="12.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row>
    <row r="678" ht="12.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c r="AB678" s="30"/>
      <c r="AC678" s="30"/>
    </row>
    <row r="679" ht="12.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c r="AB679" s="30"/>
      <c r="AC679" s="30"/>
    </row>
    <row r="680" ht="12.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row>
    <row r="681" ht="12.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c r="AB681" s="30"/>
      <c r="AC681" s="30"/>
    </row>
    <row r="682" ht="12.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c r="AB682" s="30"/>
      <c r="AC682" s="30"/>
    </row>
    <row r="683" ht="12.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c r="AB683" s="30"/>
      <c r="AC683" s="30"/>
    </row>
    <row r="684" ht="12.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c r="AB684" s="30"/>
      <c r="AC684" s="30"/>
    </row>
    <row r="685" ht="12.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c r="AB685" s="30"/>
      <c r="AC685" s="30"/>
    </row>
    <row r="686" ht="12.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row>
    <row r="687" ht="12.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c r="AB687" s="30"/>
      <c r="AC687" s="30"/>
    </row>
    <row r="688" ht="12.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c r="AB688" s="30"/>
      <c r="AC688" s="30"/>
    </row>
    <row r="689" ht="12.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c r="AB689" s="30"/>
      <c r="AC689" s="30"/>
    </row>
    <row r="690" ht="12.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c r="AB690" s="30"/>
      <c r="AC690" s="30"/>
    </row>
    <row r="691" ht="12.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c r="AB691" s="30"/>
      <c r="AC691" s="30"/>
    </row>
    <row r="692" ht="12.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c r="AB692" s="30"/>
      <c r="AC692" s="30"/>
    </row>
    <row r="693" ht="12.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c r="AB693" s="30"/>
      <c r="AC693" s="30"/>
    </row>
    <row r="694" ht="12.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c r="AC694" s="30"/>
    </row>
    <row r="695" ht="12.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c r="AB695" s="30"/>
      <c r="AC695" s="30"/>
    </row>
    <row r="696" ht="12.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row>
    <row r="697" ht="12.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c r="AB697" s="30"/>
      <c r="AC697" s="30"/>
    </row>
    <row r="698" ht="12.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c r="AB698" s="30"/>
      <c r="AC698" s="30"/>
    </row>
    <row r="699" ht="12.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c r="AB699" s="30"/>
      <c r="AC699" s="30"/>
    </row>
    <row r="700" ht="12.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c r="AB700" s="30"/>
      <c r="AC700" s="30"/>
    </row>
    <row r="701" ht="12.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c r="AB701" s="30"/>
      <c r="AC701" s="30"/>
    </row>
    <row r="702" ht="12.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c r="AB702" s="30"/>
      <c r="AC702" s="30"/>
    </row>
    <row r="703" ht="12.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c r="AB703" s="30"/>
      <c r="AC703" s="30"/>
    </row>
    <row r="704" ht="12.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c r="AB704" s="30"/>
      <c r="AC704" s="30"/>
    </row>
    <row r="705" ht="12.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c r="AB705" s="30"/>
      <c r="AC705" s="30"/>
    </row>
    <row r="706" ht="12.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row>
    <row r="707" ht="12.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c r="AB707" s="30"/>
      <c r="AC707" s="30"/>
    </row>
    <row r="708" ht="12.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c r="AB708" s="30"/>
      <c r="AC708" s="30"/>
    </row>
    <row r="709" ht="12.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c r="AB709" s="30"/>
      <c r="AC709" s="30"/>
    </row>
    <row r="710" ht="12.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c r="AB710" s="30"/>
      <c r="AC710" s="30"/>
    </row>
    <row r="711" ht="12.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c r="AB711" s="30"/>
      <c r="AC711" s="30"/>
    </row>
    <row r="712" ht="12.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c r="AB712" s="30"/>
      <c r="AC712" s="30"/>
    </row>
    <row r="713" ht="12.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c r="AB713" s="30"/>
      <c r="AC713" s="30"/>
    </row>
    <row r="714" ht="12.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c r="AB714" s="30"/>
      <c r="AC714" s="30"/>
    </row>
    <row r="715" ht="12.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c r="AB715" s="30"/>
      <c r="AC715" s="30"/>
    </row>
    <row r="716" ht="12.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row>
    <row r="717" ht="12.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row>
    <row r="718" ht="12.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c r="AB718" s="30"/>
      <c r="AC718" s="30"/>
    </row>
    <row r="719" ht="12.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c r="AB719" s="30"/>
      <c r="AC719" s="30"/>
    </row>
    <row r="720" ht="12.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row>
    <row r="721" ht="12.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c r="AB721" s="30"/>
      <c r="AC721" s="30"/>
    </row>
    <row r="722" ht="12.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c r="AB722" s="30"/>
      <c r="AC722" s="30"/>
    </row>
    <row r="723" ht="12.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row>
    <row r="724" ht="12.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c r="AB724" s="30"/>
      <c r="AC724" s="30"/>
    </row>
    <row r="725" ht="12.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c r="AB725" s="30"/>
      <c r="AC725" s="30"/>
    </row>
    <row r="726" ht="12.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row>
    <row r="727" ht="12.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c r="AB727" s="30"/>
      <c r="AC727" s="30"/>
    </row>
    <row r="728" ht="12.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c r="AB728" s="30"/>
      <c r="AC728" s="30"/>
    </row>
    <row r="729" ht="12.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row>
    <row r="730" ht="12.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c r="AB730" s="30"/>
      <c r="AC730" s="30"/>
    </row>
    <row r="731" ht="12.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c r="AB731" s="30"/>
      <c r="AC731" s="30"/>
    </row>
    <row r="732" ht="12.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row>
    <row r="733" ht="12.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c r="AB733" s="30"/>
      <c r="AC733" s="30"/>
    </row>
    <row r="734" ht="12.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c r="AB734" s="30"/>
      <c r="AC734" s="30"/>
    </row>
    <row r="735" ht="12.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row>
    <row r="736" ht="12.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row>
    <row r="737" ht="12.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c r="AB737" s="30"/>
      <c r="AC737" s="30"/>
    </row>
    <row r="738" ht="12.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row>
    <row r="739" ht="12.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c r="AB739" s="30"/>
      <c r="AC739" s="30"/>
    </row>
    <row r="740" ht="12.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c r="AB740" s="30"/>
      <c r="AC740" s="30"/>
    </row>
    <row r="741" ht="12.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row>
    <row r="742" ht="12.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c r="AB742" s="30"/>
      <c r="AC742" s="30"/>
    </row>
    <row r="743" ht="12.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c r="AB743" s="30"/>
      <c r="AC743" s="30"/>
    </row>
    <row r="744" ht="12.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row>
    <row r="745" ht="12.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c r="AB745" s="30"/>
      <c r="AC745" s="30"/>
    </row>
    <row r="746" ht="12.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row>
    <row r="747" ht="12.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row>
    <row r="748" ht="12.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c r="AB748" s="30"/>
      <c r="AC748" s="30"/>
    </row>
    <row r="749" ht="12.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c r="AB749" s="30"/>
      <c r="AC749" s="30"/>
    </row>
    <row r="750" ht="12.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c r="AB750" s="30"/>
      <c r="AC750" s="30"/>
    </row>
    <row r="751" ht="12.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c r="AB751" s="30"/>
      <c r="AC751" s="30"/>
    </row>
    <row r="752" ht="12.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c r="AB752" s="30"/>
      <c r="AC752" s="30"/>
    </row>
    <row r="753" ht="12.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c r="AB753" s="30"/>
      <c r="AC753" s="30"/>
    </row>
    <row r="754" ht="12.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c r="AB754" s="30"/>
      <c r="AC754" s="30"/>
    </row>
    <row r="755" ht="12.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c r="AB755" s="30"/>
      <c r="AC755" s="30"/>
    </row>
    <row r="756" ht="12.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row>
    <row r="757" ht="12.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row>
    <row r="758" ht="12.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c r="AB758" s="30"/>
      <c r="AC758" s="30"/>
    </row>
    <row r="759" ht="12.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c r="AB759" s="30"/>
      <c r="AC759" s="30"/>
    </row>
    <row r="760" ht="12.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row>
    <row r="761" ht="12.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c r="AB761" s="30"/>
      <c r="AC761" s="30"/>
    </row>
    <row r="762" ht="12.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c r="AB762" s="30"/>
      <c r="AC762" s="30"/>
    </row>
    <row r="763" ht="12.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c r="AB763" s="30"/>
      <c r="AC763" s="30"/>
    </row>
    <row r="764" ht="12.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c r="AC764" s="30"/>
    </row>
    <row r="765" ht="12.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c r="AC765" s="30"/>
    </row>
    <row r="766" ht="12.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row>
    <row r="767" ht="12.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c r="AB767" s="30"/>
      <c r="AC767" s="30"/>
    </row>
    <row r="768" ht="12.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row>
    <row r="769" ht="12.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c r="AC769" s="30"/>
    </row>
    <row r="770" ht="12.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c r="AB770" s="30"/>
      <c r="AC770" s="30"/>
    </row>
    <row r="771" ht="12.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c r="AB771" s="30"/>
      <c r="AC771" s="30"/>
    </row>
    <row r="772" ht="12.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c r="AB772" s="30"/>
      <c r="AC772" s="30"/>
    </row>
    <row r="773" ht="12.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c r="AC773" s="30"/>
    </row>
    <row r="774" ht="12.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c r="AB774" s="30"/>
      <c r="AC774" s="30"/>
    </row>
    <row r="775" ht="12.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c r="AB775" s="30"/>
      <c r="AC775" s="30"/>
    </row>
    <row r="776" ht="12.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row>
    <row r="777" ht="12.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c r="AB777" s="30"/>
      <c r="AC777" s="30"/>
    </row>
    <row r="778" ht="12.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c r="AB778" s="30"/>
      <c r="AC778" s="30"/>
    </row>
    <row r="779" ht="12.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c r="AB779" s="30"/>
      <c r="AC779" s="30"/>
    </row>
    <row r="780" ht="12.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c r="AB780" s="30"/>
      <c r="AC780" s="30"/>
    </row>
    <row r="781" ht="12.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c r="AB781" s="30"/>
      <c r="AC781" s="30"/>
    </row>
    <row r="782" ht="12.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c r="AB782" s="30"/>
      <c r="AC782" s="30"/>
    </row>
    <row r="783" ht="12.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c r="AB783" s="30"/>
      <c r="AC783" s="30"/>
    </row>
    <row r="784" ht="12.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c r="AB784" s="30"/>
      <c r="AC784" s="30"/>
    </row>
    <row r="785" ht="12.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c r="AB785" s="30"/>
      <c r="AC785" s="30"/>
    </row>
    <row r="786" ht="12.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row>
    <row r="787" ht="12.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c r="AB787" s="30"/>
      <c r="AC787" s="30"/>
    </row>
    <row r="788" ht="12.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c r="AB788" s="30"/>
      <c r="AC788" s="30"/>
    </row>
    <row r="789" ht="12.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c r="AB789" s="30"/>
      <c r="AC789" s="30"/>
    </row>
    <row r="790" ht="12.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c r="AB790" s="30"/>
      <c r="AC790" s="30"/>
    </row>
    <row r="791" ht="12.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c r="AB791" s="30"/>
      <c r="AC791" s="30"/>
    </row>
    <row r="792" ht="12.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c r="AB792" s="30"/>
      <c r="AC792" s="30"/>
    </row>
    <row r="793" ht="12.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c r="AB793" s="30"/>
      <c r="AC793" s="30"/>
    </row>
    <row r="794" ht="12.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c r="AB794" s="30"/>
      <c r="AC794" s="30"/>
    </row>
    <row r="795" ht="12.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c r="AB795" s="30"/>
      <c r="AC795" s="30"/>
    </row>
    <row r="796" ht="12.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row>
    <row r="797" ht="12.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c r="AC797" s="30"/>
    </row>
    <row r="798" ht="12.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c r="AB798" s="30"/>
      <c r="AC798" s="30"/>
    </row>
    <row r="799" ht="12.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c r="AB799" s="30"/>
      <c r="AC799" s="30"/>
    </row>
    <row r="800" ht="12.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c r="AB800" s="30"/>
      <c r="AC800" s="30"/>
    </row>
    <row r="801" ht="12.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c r="AB801" s="30"/>
      <c r="AC801" s="30"/>
    </row>
    <row r="802" ht="12.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c r="AB802" s="30"/>
      <c r="AC802" s="30"/>
    </row>
    <row r="803" ht="12.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c r="AB803" s="30"/>
      <c r="AC803" s="30"/>
    </row>
    <row r="804" ht="12.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c r="AB804" s="30"/>
      <c r="AC804" s="30"/>
    </row>
    <row r="805" ht="12.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c r="AB805" s="30"/>
      <c r="AC805" s="30"/>
    </row>
    <row r="806" ht="12.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row>
    <row r="807" ht="12.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c r="AB807" s="30"/>
      <c r="AC807" s="30"/>
    </row>
    <row r="808" ht="12.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c r="AB808" s="30"/>
      <c r="AC808" s="30"/>
    </row>
    <row r="809" ht="12.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c r="AB809" s="30"/>
      <c r="AC809" s="30"/>
    </row>
    <row r="810" ht="12.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c r="AB810" s="30"/>
      <c r="AC810" s="30"/>
    </row>
    <row r="811" ht="12.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c r="AB811" s="30"/>
      <c r="AC811" s="30"/>
    </row>
    <row r="812" ht="12.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c r="AB812" s="30"/>
      <c r="AC812" s="30"/>
    </row>
    <row r="813" ht="12.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c r="AB813" s="30"/>
      <c r="AC813" s="30"/>
    </row>
    <row r="814" ht="12.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c r="AB814" s="30"/>
      <c r="AC814" s="30"/>
    </row>
    <row r="815" ht="12.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c r="AB815" s="30"/>
      <c r="AC815" s="30"/>
    </row>
    <row r="816" ht="12.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row>
    <row r="817" ht="12.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c r="AB817" s="30"/>
      <c r="AC817" s="30"/>
    </row>
    <row r="818" ht="12.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c r="AB818" s="30"/>
      <c r="AC818" s="30"/>
    </row>
    <row r="819" ht="12.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c r="AB819" s="30"/>
      <c r="AC819" s="30"/>
    </row>
    <row r="820" ht="12.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c r="AB820" s="30"/>
      <c r="AC820" s="30"/>
    </row>
    <row r="821" ht="12.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c r="AB821" s="30"/>
      <c r="AC821" s="30"/>
    </row>
    <row r="822" ht="12.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c r="AB822" s="30"/>
      <c r="AC822" s="30"/>
    </row>
    <row r="823" ht="12.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c r="AB823" s="30"/>
      <c r="AC823" s="30"/>
    </row>
    <row r="824" ht="12.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c r="AB824" s="30"/>
      <c r="AC824" s="30"/>
    </row>
    <row r="825" ht="12.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c r="AB825" s="30"/>
      <c r="AC825" s="30"/>
    </row>
    <row r="826" ht="12.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row>
    <row r="827" ht="12.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c r="AB827" s="30"/>
      <c r="AC827" s="30"/>
    </row>
    <row r="828" ht="12.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c r="AB828" s="30"/>
      <c r="AC828" s="30"/>
    </row>
    <row r="829" ht="12.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c r="AB829" s="30"/>
      <c r="AC829" s="30"/>
    </row>
    <row r="830" ht="12.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c r="AB830" s="30"/>
      <c r="AC830" s="30"/>
    </row>
    <row r="831" ht="12.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c r="AB831" s="30"/>
      <c r="AC831" s="30"/>
    </row>
    <row r="832" ht="12.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c r="AB832" s="30"/>
      <c r="AC832" s="30"/>
    </row>
    <row r="833" ht="12.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c r="AB833" s="30"/>
      <c r="AC833" s="30"/>
    </row>
    <row r="834" ht="12.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c r="AB834" s="30"/>
      <c r="AC834" s="30"/>
    </row>
    <row r="835" ht="12.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c r="AB835" s="30"/>
      <c r="AC835" s="30"/>
    </row>
    <row r="836" ht="12.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row>
    <row r="837" ht="12.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c r="AB837" s="30"/>
      <c r="AC837" s="30"/>
    </row>
    <row r="838" ht="12.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c r="AB838" s="30"/>
      <c r="AC838" s="30"/>
    </row>
    <row r="839" ht="12.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c r="AB839" s="30"/>
      <c r="AC839" s="30"/>
    </row>
    <row r="840" ht="12.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c r="AB840" s="30"/>
      <c r="AC840" s="30"/>
    </row>
    <row r="841" ht="12.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c r="AB841" s="30"/>
      <c r="AC841" s="30"/>
    </row>
    <row r="842" ht="12.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c r="AB842" s="30"/>
      <c r="AC842" s="30"/>
    </row>
    <row r="843" ht="12.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c r="AB843" s="30"/>
      <c r="AC843" s="30"/>
    </row>
    <row r="844" ht="12.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c r="AB844" s="30"/>
      <c r="AC844" s="30"/>
    </row>
    <row r="845" ht="12.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c r="AB845" s="30"/>
      <c r="AC845" s="30"/>
    </row>
    <row r="846" ht="12.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row>
    <row r="847" ht="12.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c r="AB847" s="30"/>
      <c r="AC847" s="30"/>
    </row>
    <row r="848" ht="12.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c r="AB848" s="30"/>
      <c r="AC848" s="30"/>
    </row>
    <row r="849" ht="12.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c r="AB849" s="30"/>
      <c r="AC849" s="30"/>
    </row>
    <row r="850" ht="12.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c r="AB850" s="30"/>
      <c r="AC850" s="30"/>
    </row>
    <row r="851" ht="12.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c r="AB851" s="30"/>
      <c r="AC851" s="30"/>
    </row>
    <row r="852" ht="12.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c r="AB852" s="30"/>
      <c r="AC852" s="30"/>
    </row>
    <row r="853" ht="12.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c r="AB853" s="30"/>
      <c r="AC853" s="30"/>
    </row>
    <row r="854" ht="12.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c r="AB854" s="30"/>
      <c r="AC854" s="30"/>
    </row>
    <row r="855" ht="12.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c r="AB855" s="30"/>
      <c r="AC855" s="30"/>
    </row>
    <row r="856" ht="12.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row>
    <row r="857" ht="12.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c r="AB857" s="30"/>
      <c r="AC857" s="30"/>
    </row>
    <row r="858" ht="12.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c r="AB858" s="30"/>
      <c r="AC858" s="30"/>
    </row>
    <row r="859" ht="12.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c r="AB859" s="30"/>
      <c r="AC859" s="30"/>
    </row>
    <row r="860" ht="12.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c r="AB860" s="30"/>
      <c r="AC860" s="30"/>
    </row>
    <row r="861" ht="12.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c r="AB861" s="30"/>
      <c r="AC861" s="30"/>
    </row>
    <row r="862" ht="12.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c r="AB862" s="30"/>
      <c r="AC862" s="30"/>
    </row>
    <row r="863" ht="12.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c r="AB863" s="30"/>
      <c r="AC863" s="30"/>
    </row>
    <row r="864" ht="12.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c r="AB864" s="30"/>
      <c r="AC864" s="30"/>
    </row>
    <row r="865" ht="12.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c r="AB865" s="30"/>
      <c r="AC865" s="30"/>
    </row>
    <row r="866" ht="12.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row>
    <row r="867" ht="12.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c r="AB867" s="30"/>
      <c r="AC867" s="30"/>
    </row>
    <row r="868" ht="12.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c r="AB868" s="30"/>
      <c r="AC868" s="30"/>
    </row>
    <row r="869" ht="12.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c r="AB869" s="30"/>
      <c r="AC869" s="30"/>
    </row>
    <row r="870" ht="12.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c r="AB870" s="30"/>
      <c r="AC870" s="30"/>
    </row>
    <row r="871" ht="12.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c r="AB871" s="30"/>
      <c r="AC871" s="30"/>
    </row>
    <row r="872" ht="12.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c r="AB872" s="30"/>
      <c r="AC872" s="30"/>
    </row>
    <row r="873" ht="12.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c r="AB873" s="30"/>
      <c r="AC873" s="30"/>
    </row>
    <row r="874" ht="12.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c r="AB874" s="30"/>
      <c r="AC874" s="30"/>
    </row>
    <row r="875" ht="12.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c r="AB875" s="30"/>
      <c r="AC875" s="30"/>
    </row>
    <row r="876" ht="12.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row>
    <row r="877" ht="12.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c r="AB877" s="30"/>
      <c r="AC877" s="30"/>
    </row>
    <row r="878" ht="12.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c r="AB878" s="30"/>
      <c r="AC878" s="30"/>
    </row>
    <row r="879" ht="12.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c r="AB879" s="30"/>
      <c r="AC879" s="30"/>
    </row>
    <row r="880" ht="12.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c r="AB880" s="30"/>
      <c r="AC880" s="30"/>
    </row>
    <row r="881" ht="12.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c r="AB881" s="30"/>
      <c r="AC881" s="30"/>
    </row>
    <row r="882" ht="12.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c r="AB882" s="30"/>
      <c r="AC882" s="30"/>
    </row>
    <row r="883" ht="12.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c r="AB883" s="30"/>
      <c r="AC883" s="30"/>
    </row>
    <row r="884" ht="12.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c r="AB884" s="30"/>
      <c r="AC884" s="30"/>
    </row>
    <row r="885" ht="12.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c r="AB885" s="30"/>
      <c r="AC885" s="30"/>
    </row>
    <row r="886" ht="12.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row>
    <row r="887" ht="12.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c r="AB887" s="30"/>
      <c r="AC887" s="30"/>
    </row>
    <row r="888" ht="12.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c r="AB888" s="30"/>
      <c r="AC888" s="30"/>
    </row>
    <row r="889" ht="12.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c r="AB889" s="30"/>
      <c r="AC889" s="30"/>
    </row>
    <row r="890" ht="12.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c r="AB890" s="30"/>
      <c r="AC890" s="30"/>
    </row>
    <row r="891" ht="12.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c r="AB891" s="30"/>
      <c r="AC891" s="30"/>
    </row>
    <row r="892" ht="12.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c r="AB892" s="30"/>
      <c r="AC892" s="30"/>
    </row>
    <row r="893" ht="12.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c r="AB893" s="30"/>
      <c r="AC893" s="30"/>
    </row>
    <row r="894" ht="12.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c r="AB894" s="30"/>
      <c r="AC894" s="30"/>
    </row>
    <row r="895" ht="12.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c r="AB895" s="30"/>
      <c r="AC895" s="30"/>
    </row>
    <row r="896" ht="12.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row>
    <row r="897" ht="12.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c r="AB897" s="30"/>
      <c r="AC897" s="30"/>
    </row>
    <row r="898" ht="12.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c r="AB898" s="30"/>
      <c r="AC898" s="30"/>
    </row>
    <row r="899" ht="12.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c r="AB899" s="30"/>
      <c r="AC899" s="30"/>
    </row>
    <row r="900" ht="12.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c r="AB900" s="30"/>
      <c r="AC900" s="30"/>
    </row>
    <row r="901" ht="12.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c r="AB901" s="30"/>
      <c r="AC901" s="30"/>
    </row>
    <row r="902" ht="12.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c r="AB902" s="30"/>
      <c r="AC902" s="30"/>
    </row>
    <row r="903" ht="12.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c r="AB903" s="30"/>
      <c r="AC903" s="30"/>
    </row>
    <row r="904" ht="12.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c r="AB904" s="30"/>
      <c r="AC904" s="30"/>
    </row>
    <row r="905" ht="12.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c r="AB905" s="30"/>
      <c r="AC905" s="30"/>
    </row>
    <row r="906" ht="12.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row>
    <row r="907" ht="12.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c r="AB907" s="30"/>
      <c r="AC907" s="30"/>
    </row>
    <row r="908" ht="12.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c r="AB908" s="30"/>
      <c r="AC908" s="30"/>
    </row>
    <row r="909" ht="12.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c r="AB909" s="30"/>
      <c r="AC909" s="30"/>
    </row>
    <row r="910" ht="12.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c r="AB910" s="30"/>
      <c r="AC910" s="30"/>
    </row>
    <row r="911" ht="12.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c r="AB911" s="30"/>
      <c r="AC911" s="30"/>
    </row>
    <row r="912" ht="12.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c r="AB912" s="30"/>
      <c r="AC912" s="30"/>
    </row>
    <row r="913" ht="12.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c r="AB913" s="30"/>
      <c r="AC913" s="30"/>
    </row>
    <row r="914" ht="12.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c r="AB914" s="30"/>
      <c r="AC914" s="30"/>
    </row>
    <row r="915" ht="12.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c r="AB915" s="30"/>
      <c r="AC915" s="30"/>
    </row>
    <row r="916" ht="12.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row>
    <row r="917" ht="12.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c r="AB917" s="30"/>
      <c r="AC917" s="30"/>
    </row>
    <row r="918" ht="12.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c r="AB918" s="30"/>
      <c r="AC918" s="30"/>
    </row>
    <row r="919" ht="12.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c r="AB919" s="30"/>
      <c r="AC919" s="30"/>
    </row>
    <row r="920" ht="12.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c r="AB920" s="30"/>
      <c r="AC920" s="30"/>
    </row>
    <row r="921" ht="12.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c r="AB921" s="30"/>
      <c r="AC921" s="30"/>
    </row>
    <row r="922" ht="12.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c r="AB922" s="30"/>
      <c r="AC922" s="30"/>
    </row>
    <row r="923" ht="12.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c r="AB923" s="30"/>
      <c r="AC923" s="30"/>
    </row>
    <row r="924" ht="12.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c r="AB924" s="30"/>
      <c r="AC924" s="30"/>
    </row>
    <row r="925" ht="12.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c r="AB925" s="30"/>
      <c r="AC925" s="30"/>
    </row>
    <row r="926" ht="12.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row>
    <row r="927" ht="12.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c r="AB927" s="30"/>
      <c r="AC927" s="30"/>
    </row>
    <row r="928" ht="12.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c r="AB928" s="30"/>
      <c r="AC928" s="30"/>
    </row>
    <row r="929" ht="12.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c r="AB929" s="30"/>
      <c r="AC929" s="30"/>
    </row>
    <row r="930" ht="12.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c r="AB930" s="30"/>
      <c r="AC930" s="30"/>
    </row>
    <row r="931" ht="12.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c r="AB931" s="30"/>
      <c r="AC931" s="30"/>
    </row>
    <row r="932" ht="12.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c r="AB932" s="30"/>
      <c r="AC932" s="30"/>
    </row>
    <row r="933" ht="12.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c r="AB933" s="30"/>
      <c r="AC933" s="30"/>
    </row>
    <row r="934" ht="12.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c r="AB934" s="30"/>
      <c r="AC934" s="30"/>
    </row>
    <row r="935" ht="12.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c r="AB935" s="30"/>
      <c r="AC935" s="30"/>
    </row>
    <row r="936" ht="12.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c r="AC936" s="30"/>
    </row>
    <row r="937" ht="12.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c r="AB937" s="30"/>
      <c r="AC937" s="30"/>
    </row>
    <row r="938" ht="12.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c r="AB938" s="30"/>
      <c r="AC938" s="30"/>
    </row>
    <row r="939" ht="12.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c r="AB939" s="30"/>
      <c r="AC939" s="30"/>
    </row>
    <row r="940" ht="12.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c r="AB940" s="30"/>
      <c r="AC940" s="30"/>
    </row>
    <row r="941" ht="12.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c r="AB941" s="30"/>
      <c r="AC941" s="30"/>
    </row>
    <row r="942" ht="12.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c r="AB942" s="30"/>
      <c r="AC942" s="30"/>
    </row>
    <row r="943" ht="12.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c r="AB943" s="30"/>
      <c r="AC943" s="30"/>
    </row>
    <row r="944" ht="12.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c r="AB944" s="30"/>
      <c r="AC944" s="30"/>
    </row>
    <row r="945" ht="12.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c r="AB945" s="30"/>
      <c r="AC945" s="30"/>
    </row>
    <row r="946" ht="12.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c r="AC946" s="30"/>
    </row>
    <row r="947" ht="12.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c r="AB947" s="30"/>
      <c r="AC947" s="30"/>
    </row>
    <row r="948" ht="12.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c r="AB948" s="30"/>
      <c r="AC948" s="30"/>
    </row>
    <row r="949" ht="12.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c r="AB949" s="30"/>
      <c r="AC949" s="30"/>
    </row>
    <row r="950" ht="12.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c r="AB950" s="30"/>
      <c r="AC950" s="30"/>
    </row>
    <row r="951" ht="12.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c r="AB951" s="30"/>
      <c r="AC951" s="30"/>
    </row>
    <row r="952" ht="12.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c r="AB952" s="30"/>
      <c r="AC952" s="30"/>
    </row>
    <row r="953" ht="12.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c r="AB953" s="30"/>
      <c r="AC953" s="30"/>
    </row>
    <row r="954" ht="12.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c r="AB954" s="30"/>
      <c r="AC954" s="30"/>
    </row>
    <row r="955" ht="12.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c r="AB955" s="30"/>
      <c r="AC955" s="30"/>
    </row>
    <row r="956" ht="12.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c r="AC956" s="30"/>
    </row>
    <row r="957" ht="12.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c r="AB957" s="30"/>
      <c r="AC957" s="30"/>
    </row>
    <row r="958" ht="12.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c r="AB958" s="30"/>
      <c r="AC958" s="30"/>
    </row>
    <row r="959" ht="12.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row>
    <row r="960" ht="12.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c r="AB960" s="30"/>
      <c r="AC960" s="30"/>
    </row>
    <row r="961" ht="12.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c r="AB961" s="30"/>
      <c r="AC961" s="30"/>
    </row>
    <row r="962" ht="12.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c r="AB962" s="30"/>
      <c r="AC962" s="30"/>
    </row>
    <row r="963" ht="12.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c r="AB963" s="30"/>
      <c r="AC963" s="30"/>
    </row>
    <row r="964" ht="12.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c r="AB964" s="30"/>
      <c r="AC964" s="30"/>
    </row>
    <row r="965" ht="12.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c r="AB965" s="30"/>
      <c r="AC965" s="30"/>
    </row>
    <row r="966" ht="12.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c r="AC966" s="30"/>
    </row>
    <row r="967" ht="12.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c r="AB967" s="30"/>
      <c r="AC967" s="30"/>
    </row>
    <row r="968" ht="12.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c r="AB968" s="30"/>
      <c r="AC968" s="30"/>
    </row>
    <row r="969" ht="12.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c r="AB969" s="30"/>
      <c r="AC969" s="30"/>
    </row>
    <row r="970" ht="12.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c r="AB970" s="30"/>
      <c r="AC970" s="30"/>
    </row>
    <row r="971" ht="12.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c r="AB971" s="30"/>
      <c r="AC971" s="30"/>
    </row>
    <row r="972" ht="12.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c r="AB972" s="30"/>
      <c r="AC972" s="30"/>
    </row>
    <row r="973" ht="12.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c r="AB973" s="30"/>
      <c r="AC973" s="30"/>
    </row>
    <row r="974" ht="12.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c r="AB974" s="30"/>
      <c r="AC974" s="30"/>
    </row>
    <row r="975" ht="12.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c r="AB975" s="30"/>
      <c r="AC975" s="30"/>
    </row>
    <row r="976" ht="12.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c r="AC976" s="30"/>
    </row>
    <row r="977" ht="12.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c r="AB977" s="30"/>
      <c r="AC977" s="30"/>
    </row>
    <row r="978" ht="12.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c r="AB978" s="30"/>
      <c r="AC978" s="30"/>
    </row>
    <row r="979" ht="12.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c r="AB979" s="30"/>
      <c r="AC979" s="30"/>
    </row>
    <row r="980" ht="12.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c r="AB980" s="30"/>
      <c r="AC980" s="30"/>
    </row>
    <row r="981" ht="12.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c r="AB981" s="30"/>
      <c r="AC981" s="30"/>
    </row>
    <row r="982" ht="12.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c r="AB982" s="30"/>
      <c r="AC982" s="30"/>
    </row>
    <row r="983" ht="12.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c r="AB983" s="30"/>
      <c r="AC983" s="30"/>
    </row>
    <row r="984" ht="12.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c r="AB984" s="30"/>
      <c r="AC984" s="30"/>
    </row>
    <row r="985" ht="12.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c r="AB985" s="30"/>
      <c r="AC985" s="30"/>
    </row>
    <row r="986" ht="12.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c r="AC986" s="30"/>
    </row>
    <row r="987" ht="12.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c r="AB987" s="30"/>
      <c r="AC987" s="30"/>
    </row>
    <row r="988" ht="12.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c r="AB988" s="30"/>
      <c r="AC988" s="30"/>
    </row>
    <row r="989" ht="12.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c r="AB989" s="30"/>
      <c r="AC989" s="30"/>
    </row>
    <row r="990" ht="12.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c r="AB990" s="30"/>
      <c r="AC990" s="30"/>
    </row>
    <row r="991" ht="12.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c r="AB991" s="30"/>
      <c r="AC991" s="30"/>
    </row>
    <row r="992" ht="12.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c r="AB992" s="30"/>
      <c r="AC992" s="30"/>
    </row>
    <row r="993" ht="12.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c r="AB993" s="30"/>
      <c r="AC993" s="30"/>
    </row>
    <row r="994" ht="12.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c r="AB994" s="30"/>
      <c r="AC994" s="30"/>
    </row>
    <row r="995" ht="12.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c r="AB995" s="30"/>
      <c r="AC995" s="30"/>
    </row>
    <row r="996" ht="12.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c r="AC996" s="30"/>
    </row>
    <row r="997" ht="12.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c r="AB997" s="30"/>
      <c r="AC997" s="30"/>
    </row>
    <row r="998" ht="12.7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c r="AB998" s="30"/>
      <c r="AC998" s="30"/>
    </row>
    <row r="999" ht="12.7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c r="AB999" s="30"/>
      <c r="AC999" s="30"/>
    </row>
    <row r="1000" ht="12.7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c r="AB1000" s="30"/>
      <c r="AC1000" s="30"/>
    </row>
  </sheetData>
  <mergeCells count="1">
    <mergeCell ref="X12:Y12"/>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9.75"/>
    <col customWidth="1" min="3" max="3" width="13.13"/>
    <col customWidth="1" min="4" max="4" width="16.0"/>
    <col customWidth="1" min="5" max="6" width="17.75"/>
    <col customWidth="1" min="7" max="7" width="31.63"/>
    <col customWidth="1" min="8" max="8" width="20.0"/>
    <col customWidth="1" min="9" max="12" width="8.75"/>
    <col customWidth="1" min="13" max="13" width="12.88"/>
    <col customWidth="1" min="14" max="14" width="8.75"/>
    <col customWidth="1" min="15" max="15" width="17.25"/>
    <col customWidth="1" min="16" max="16" width="8.75"/>
    <col customWidth="1" min="17" max="17" width="13.25"/>
    <col customWidth="1" min="18" max="18" width="16.88"/>
    <col customWidth="1" min="19" max="19" width="8.75"/>
    <col customWidth="1" min="20" max="20" width="13.0"/>
    <col customWidth="1" min="21" max="21" width="10.13"/>
    <col customWidth="1" min="22" max="26" width="8.75"/>
  </cols>
  <sheetData>
    <row r="1" ht="12.75" customHeight="1">
      <c r="A1" s="30"/>
      <c r="B1" s="30"/>
      <c r="C1" s="30"/>
      <c r="D1" s="30"/>
      <c r="E1" s="30"/>
      <c r="F1" s="30"/>
      <c r="G1" s="30"/>
      <c r="H1" s="30"/>
      <c r="I1" s="30"/>
      <c r="J1" s="30"/>
      <c r="K1" s="30"/>
      <c r="L1" s="30"/>
      <c r="M1" s="30"/>
      <c r="N1" s="30"/>
      <c r="O1" s="30"/>
      <c r="P1" s="30"/>
      <c r="Q1" s="30"/>
      <c r="R1" s="30"/>
      <c r="S1" s="30"/>
      <c r="T1" s="30"/>
      <c r="U1" s="30"/>
      <c r="V1" s="30"/>
    </row>
    <row r="2" ht="12.75" customHeight="1">
      <c r="A2" s="219"/>
      <c r="B2" s="220"/>
      <c r="C2" s="221" t="s">
        <v>332</v>
      </c>
      <c r="D2" s="222"/>
      <c r="E2" s="223"/>
      <c r="F2" s="44"/>
      <c r="G2" s="44"/>
      <c r="H2" s="30" t="s">
        <v>333</v>
      </c>
      <c r="I2" s="30"/>
      <c r="J2" s="30"/>
      <c r="K2" s="30"/>
      <c r="L2" s="30"/>
      <c r="M2" s="30"/>
      <c r="N2" s="30"/>
      <c r="O2" s="44"/>
      <c r="P2" s="44"/>
      <c r="Q2" s="44"/>
      <c r="R2" s="44"/>
      <c r="S2" s="44"/>
      <c r="T2" s="44"/>
      <c r="U2" s="30"/>
      <c r="V2" s="30"/>
    </row>
    <row r="3" ht="12.75" customHeight="1">
      <c r="A3" s="219"/>
      <c r="B3" s="219" t="s">
        <v>334</v>
      </c>
      <c r="C3" s="219" t="s">
        <v>335</v>
      </c>
      <c r="D3" s="219" t="s">
        <v>336</v>
      </c>
      <c r="E3" s="219" t="s">
        <v>337</v>
      </c>
      <c r="F3" s="219" t="s">
        <v>338</v>
      </c>
      <c r="G3" s="30"/>
      <c r="H3" s="30" t="s">
        <v>339</v>
      </c>
      <c r="I3" s="44"/>
      <c r="J3" s="44"/>
      <c r="K3" s="44"/>
      <c r="L3" s="44"/>
      <c r="M3" s="44"/>
      <c r="N3" s="30"/>
      <c r="O3" s="44"/>
      <c r="P3" s="44"/>
      <c r="Q3" s="205"/>
      <c r="R3" s="205"/>
      <c r="S3" s="205"/>
      <c r="T3" s="205"/>
      <c r="U3" s="30"/>
      <c r="V3" s="30"/>
    </row>
    <row r="4" ht="21.0" customHeight="1">
      <c r="A4" s="219" t="s">
        <v>340</v>
      </c>
      <c r="B4" s="224">
        <f>'Design Calculator'!AN55</f>
        <v>90</v>
      </c>
      <c r="C4" s="225">
        <f>'Design Calculator'!$AN$56</f>
        <v>15</v>
      </c>
      <c r="D4" s="225">
        <f>'Design Calculator'!$AN$57</f>
        <v>7</v>
      </c>
      <c r="E4" s="225">
        <f>IF('Design Calculator'!$AN$58 = "NA", F4, 'Design Calculator'!$AN$58)</f>
        <v>6.5</v>
      </c>
      <c r="F4" s="225">
        <f>'Design Calculator'!AN59</f>
        <v>6.5</v>
      </c>
      <c r="G4" s="192"/>
      <c r="H4" s="30" t="s">
        <v>341</v>
      </c>
      <c r="I4" s="44"/>
      <c r="J4" s="44"/>
      <c r="K4" s="44"/>
      <c r="L4" s="205"/>
      <c r="M4" s="205"/>
      <c r="N4" s="30"/>
      <c r="O4" s="44"/>
      <c r="P4" s="44"/>
      <c r="Q4" s="205"/>
      <c r="R4" s="205"/>
      <c r="S4" s="205"/>
      <c r="T4" s="205"/>
      <c r="U4" s="30"/>
      <c r="V4" s="30"/>
    </row>
    <row r="5" ht="12.75" customHeight="1">
      <c r="A5" s="30"/>
      <c r="B5" s="30"/>
      <c r="C5" s="44"/>
      <c r="D5" s="205"/>
      <c r="E5" s="205"/>
      <c r="F5" s="205"/>
      <c r="G5" s="205"/>
      <c r="H5" s="30"/>
      <c r="I5" s="44"/>
      <c r="J5" s="44"/>
      <c r="K5" s="44"/>
      <c r="L5" s="205"/>
      <c r="M5" s="205"/>
      <c r="N5" s="226"/>
      <c r="Q5" s="205"/>
      <c r="R5" s="205"/>
      <c r="U5" s="30"/>
      <c r="V5" s="30"/>
    </row>
    <row r="6" ht="12.75" customHeight="1">
      <c r="A6" s="30"/>
      <c r="B6" s="30"/>
      <c r="C6" s="44"/>
      <c r="D6" s="205"/>
      <c r="E6" s="205"/>
      <c r="F6" s="205"/>
      <c r="G6" s="205"/>
      <c r="H6" s="30"/>
      <c r="I6" s="44"/>
      <c r="J6" s="44"/>
      <c r="K6" s="44"/>
      <c r="L6" s="205"/>
      <c r="M6" s="205"/>
      <c r="N6" s="30"/>
      <c r="O6" s="30"/>
      <c r="P6" s="30"/>
      <c r="Q6" s="30"/>
      <c r="R6" s="30"/>
      <c r="S6" s="30"/>
      <c r="T6" s="30"/>
      <c r="U6" s="30"/>
      <c r="V6" s="30"/>
    </row>
    <row r="7" ht="12.75" customHeight="1">
      <c r="A7" s="30"/>
      <c r="B7" s="212" t="s">
        <v>342</v>
      </c>
      <c r="C7" s="30"/>
      <c r="D7" s="30"/>
      <c r="E7" s="30"/>
      <c r="F7" s="30"/>
      <c r="G7" s="227" t="s">
        <v>343</v>
      </c>
      <c r="H7" s="30"/>
      <c r="I7" s="30"/>
      <c r="J7" s="226"/>
      <c r="K7" s="205"/>
      <c r="L7" s="30"/>
      <c r="M7" s="30"/>
      <c r="N7" s="30"/>
      <c r="O7" s="30"/>
      <c r="P7" s="30"/>
      <c r="Q7" s="30"/>
      <c r="R7" s="30"/>
      <c r="S7" s="30"/>
      <c r="T7" s="228"/>
      <c r="U7" s="44"/>
      <c r="V7" s="30"/>
    </row>
    <row r="8" ht="12.75" customHeight="1">
      <c r="A8" s="30"/>
      <c r="B8" s="30" t="s">
        <v>344</v>
      </c>
      <c r="C8" s="192">
        <f>IF('Design Calculator'!F71="No", 'Design Calculator'!$F$77,'Design Calculator'!F90)</f>
        <v>1.6</v>
      </c>
      <c r="D8" s="30" t="s">
        <v>108</v>
      </c>
      <c r="E8" s="30"/>
      <c r="F8" s="30"/>
      <c r="G8" s="30" t="s">
        <v>344</v>
      </c>
      <c r="H8" s="213">
        <f>Equations!F70</f>
        <v>42.59877588</v>
      </c>
      <c r="I8" s="30"/>
      <c r="J8" s="44"/>
      <c r="K8" s="205"/>
      <c r="L8" s="30"/>
      <c r="M8" s="30"/>
      <c r="N8" s="30"/>
      <c r="O8" s="30"/>
      <c r="P8" s="228"/>
      <c r="Q8" s="30"/>
      <c r="R8" s="30"/>
      <c r="S8" s="30"/>
      <c r="T8" s="228"/>
      <c r="U8" s="44"/>
      <c r="V8" s="30"/>
    </row>
    <row r="9" ht="12.75" customHeight="1">
      <c r="A9" s="30"/>
      <c r="B9" s="30" t="s">
        <v>345</v>
      </c>
      <c r="C9" s="30">
        <f>VINMAX</f>
        <v>58.4</v>
      </c>
      <c r="D9" s="30" t="s">
        <v>39</v>
      </c>
      <c r="E9" s="30"/>
      <c r="F9" s="30"/>
      <c r="G9" s="30" t="s">
        <v>345</v>
      </c>
      <c r="H9" s="30">
        <f>VINMAX</f>
        <v>58.4</v>
      </c>
      <c r="I9" s="30"/>
      <c r="J9" s="30"/>
      <c r="K9" s="205"/>
      <c r="L9" s="30"/>
      <c r="M9" s="30"/>
      <c r="N9" s="30"/>
      <c r="O9" s="30"/>
      <c r="P9" s="228"/>
      <c r="Q9" s="30"/>
      <c r="R9" s="30"/>
      <c r="S9" s="30"/>
      <c r="T9" s="228"/>
      <c r="U9" s="30"/>
      <c r="V9" s="30"/>
    </row>
    <row r="10" ht="12.75" customHeight="1">
      <c r="A10" s="30"/>
      <c r="B10" s="30" t="s">
        <v>346</v>
      </c>
      <c r="C10" s="30">
        <f>IF(C8&lt;10, IF(C8&lt;1, 0.1, 1), IF(C8&lt;100, 10, 100))</f>
        <v>1</v>
      </c>
      <c r="D10" s="30" t="s">
        <v>108</v>
      </c>
      <c r="E10" s="30"/>
      <c r="F10" s="30"/>
      <c r="G10" s="30" t="s">
        <v>346</v>
      </c>
      <c r="H10" s="30">
        <f>IF(H8&lt;10, IF(H8&lt;1, 0.1, 1), IF(H8&lt;100, 10, 100))</f>
        <v>10</v>
      </c>
      <c r="I10" s="30"/>
      <c r="J10" s="30"/>
      <c r="K10" s="205"/>
      <c r="L10" s="30"/>
      <c r="M10" s="30"/>
      <c r="N10" s="30"/>
      <c r="O10" s="30"/>
      <c r="P10" s="228"/>
      <c r="Q10" s="30"/>
      <c r="R10" s="30"/>
      <c r="S10" s="30"/>
      <c r="T10" s="228"/>
      <c r="U10" s="30"/>
      <c r="V10" s="30"/>
    </row>
    <row r="11" ht="12.75" customHeight="1">
      <c r="A11" s="30"/>
      <c r="B11" s="30" t="s">
        <v>347</v>
      </c>
      <c r="C11" s="30">
        <f>IF('Design Calculator'!F58="NA", MIN(SOA!C10,1),SOA!C10)</f>
        <v>1</v>
      </c>
      <c r="D11" s="30"/>
      <c r="E11" s="30"/>
      <c r="F11" s="30"/>
      <c r="G11" s="30" t="s">
        <v>347</v>
      </c>
      <c r="H11" s="30">
        <f>IF('Design Calculator'!F58="NA", MIN(SOA!H10,1),SOA!H10)</f>
        <v>10</v>
      </c>
      <c r="I11" s="30"/>
      <c r="J11" s="30"/>
      <c r="K11" s="205"/>
      <c r="L11" s="30"/>
      <c r="M11" s="30"/>
      <c r="N11" s="30"/>
      <c r="O11" s="30"/>
      <c r="P11" s="228"/>
      <c r="Q11" s="30"/>
      <c r="R11" s="30"/>
      <c r="S11" s="30"/>
      <c r="T11" s="30"/>
      <c r="U11" s="30"/>
      <c r="V11" s="30"/>
    </row>
    <row r="12" ht="12.75" customHeight="1">
      <c r="A12" s="30"/>
      <c r="B12" s="30" t="s">
        <v>348</v>
      </c>
      <c r="C12" s="30">
        <f>C10*10</f>
        <v>10</v>
      </c>
      <c r="D12" s="30" t="s">
        <v>108</v>
      </c>
      <c r="E12" s="30"/>
      <c r="F12" s="30"/>
      <c r="G12" s="30" t="s">
        <v>349</v>
      </c>
      <c r="H12" s="30">
        <f>H10*10</f>
        <v>100</v>
      </c>
      <c r="I12" s="30"/>
      <c r="J12" s="30"/>
      <c r="K12" s="205"/>
      <c r="L12" s="30"/>
      <c r="M12" s="30"/>
      <c r="N12" s="30"/>
      <c r="O12" s="30"/>
      <c r="P12" s="30"/>
      <c r="Q12" s="30"/>
      <c r="R12" s="30"/>
      <c r="S12" s="30"/>
      <c r="T12" s="30"/>
      <c r="U12" s="30"/>
      <c r="V12" s="30"/>
    </row>
    <row r="13" ht="12.75" customHeight="1">
      <c r="A13" s="30"/>
      <c r="B13" s="30" t="s">
        <v>350</v>
      </c>
      <c r="C13" s="30">
        <f>IF('Design Calculator'!F59="NA", MIN(SOA!C12,10),SOA!C12)</f>
        <v>10</v>
      </c>
      <c r="D13" s="30"/>
      <c r="E13" s="30"/>
      <c r="F13" s="30"/>
      <c r="G13" s="30" t="s">
        <v>350</v>
      </c>
      <c r="H13" s="30">
        <f>IF('Design Calculator'!F59="NA", MIN(SOA!H12,10),SOA!H12)</f>
        <v>100</v>
      </c>
      <c r="I13" s="30"/>
      <c r="J13" s="30"/>
      <c r="K13" s="205"/>
      <c r="L13" s="30"/>
      <c r="M13" s="30"/>
      <c r="N13" s="30"/>
      <c r="O13" s="30"/>
      <c r="P13" s="30"/>
      <c r="Q13" s="30"/>
      <c r="R13" s="30"/>
      <c r="S13" s="30"/>
      <c r="T13" s="30"/>
      <c r="U13" s="30"/>
      <c r="V13" s="30"/>
    </row>
    <row r="14" ht="12.75" customHeight="1">
      <c r="A14" s="30"/>
      <c r="B14" s="30" t="s">
        <v>351</v>
      </c>
      <c r="C14" s="126">
        <f>IF(C11=0.1, B4, IF(C11=1, C4, IF(C11=10, D4, E4)))</f>
        <v>15</v>
      </c>
      <c r="D14" s="30" t="s">
        <v>43</v>
      </c>
      <c r="E14" s="30"/>
      <c r="F14" s="30"/>
      <c r="G14" s="30" t="s">
        <v>351</v>
      </c>
      <c r="H14" s="192">
        <f>IF(H11=0.1, B4, IF(H11=1, C4, IF(H11=10, D4, E4)))</f>
        <v>7</v>
      </c>
      <c r="I14" s="30"/>
      <c r="J14" s="30"/>
      <c r="K14" s="205"/>
      <c r="L14" s="30"/>
      <c r="M14" s="30"/>
      <c r="N14" s="30"/>
      <c r="O14" s="30"/>
      <c r="P14" s="30"/>
      <c r="Q14" s="30"/>
      <c r="R14" s="30"/>
      <c r="S14" s="30"/>
      <c r="T14" s="30"/>
      <c r="U14" s="30"/>
      <c r="V14" s="30"/>
    </row>
    <row r="15" ht="12.75" customHeight="1">
      <c r="A15" s="30"/>
      <c r="B15" s="30" t="s">
        <v>352</v>
      </c>
      <c r="C15" s="192">
        <f>IF(C13=1000, F4, IF(C13=1, C4, IF(C13=10, D4, E4)))</f>
        <v>7</v>
      </c>
      <c r="D15" s="30" t="s">
        <v>43</v>
      </c>
      <c r="E15" s="30"/>
      <c r="F15" s="30"/>
      <c r="G15" s="30" t="s">
        <v>352</v>
      </c>
      <c r="H15" s="192">
        <f>IF(H13=1000, F4, IF(H13=1, C4, IF(H13=10, D4, E4)))</f>
        <v>6.5</v>
      </c>
      <c r="I15" s="30"/>
      <c r="J15" s="30"/>
      <c r="K15" s="205"/>
      <c r="L15" s="30"/>
      <c r="M15" s="30"/>
      <c r="N15" s="30"/>
      <c r="O15" s="30"/>
      <c r="P15" s="30"/>
      <c r="Q15" s="30"/>
      <c r="R15" s="30"/>
      <c r="S15" s="30"/>
      <c r="T15" s="30"/>
      <c r="U15" s="30"/>
      <c r="V15" s="30"/>
    </row>
    <row r="16" ht="12.75" customHeight="1">
      <c r="A16" s="30"/>
      <c r="B16" s="30"/>
      <c r="C16" s="30"/>
      <c r="D16" s="30"/>
      <c r="E16" s="30"/>
      <c r="F16" s="30"/>
      <c r="G16" s="30"/>
      <c r="H16" s="30"/>
      <c r="I16" s="30"/>
      <c r="J16" s="30"/>
      <c r="K16" s="205"/>
      <c r="L16" s="30"/>
      <c r="M16" s="30"/>
      <c r="N16" s="30"/>
      <c r="O16" s="30"/>
      <c r="P16" s="30"/>
      <c r="Q16" s="30"/>
      <c r="R16" s="30"/>
      <c r="S16" s="30"/>
      <c r="T16" s="30"/>
      <c r="U16" s="30"/>
      <c r="V16" s="30"/>
    </row>
    <row r="17" ht="12.75" customHeight="1">
      <c r="A17" s="30"/>
      <c r="B17" s="30" t="s">
        <v>353</v>
      </c>
      <c r="C17" s="30"/>
      <c r="D17" s="30"/>
      <c r="E17" s="30"/>
      <c r="F17" s="30"/>
      <c r="G17" s="30" t="s">
        <v>353</v>
      </c>
      <c r="H17" s="30"/>
      <c r="I17" s="30"/>
      <c r="J17" s="30"/>
      <c r="K17" s="205"/>
      <c r="L17" s="30"/>
      <c r="M17" s="30"/>
      <c r="N17" s="30"/>
      <c r="O17" s="30"/>
      <c r="P17" s="30"/>
      <c r="Q17" s="30"/>
      <c r="R17" s="30"/>
      <c r="S17" s="30"/>
      <c r="T17" s="30"/>
      <c r="U17" s="30"/>
      <c r="V17" s="30"/>
    </row>
    <row r="18" ht="12.75" customHeight="1">
      <c r="A18" s="30"/>
      <c r="B18" s="30" t="s">
        <v>354</v>
      </c>
      <c r="C18" s="30">
        <f>C14/C11^C19</f>
        <v>15</v>
      </c>
      <c r="D18" s="30"/>
      <c r="E18" s="30"/>
      <c r="F18" s="30"/>
      <c r="G18" s="30" t="s">
        <v>354</v>
      </c>
      <c r="H18" s="30">
        <f>H14/H11^H19</f>
        <v>7.538461538</v>
      </c>
      <c r="I18" s="30"/>
      <c r="J18" s="30"/>
      <c r="K18" s="30"/>
      <c r="L18" s="30"/>
      <c r="M18" s="30"/>
      <c r="N18" s="30"/>
      <c r="O18" s="30"/>
      <c r="P18" s="30"/>
      <c r="Q18" s="30"/>
      <c r="R18" s="30"/>
      <c r="S18" s="30"/>
      <c r="T18" s="30"/>
      <c r="U18" s="30"/>
      <c r="V18" s="30"/>
    </row>
    <row r="19" ht="12.75" customHeight="1">
      <c r="A19" s="30"/>
      <c r="B19" s="30" t="s">
        <v>355</v>
      </c>
      <c r="C19" s="30">
        <f>LOG(C14/C15)/LOG(C11/C13)</f>
        <v>-0.330993219</v>
      </c>
      <c r="D19" s="30"/>
      <c r="E19" s="30"/>
      <c r="F19" s="30"/>
      <c r="G19" s="30" t="s">
        <v>355</v>
      </c>
      <c r="H19" s="30">
        <f>IF(H14=H15,1E-12,LOG(H14/H15)/LOG(H11/H13))</f>
        <v>-0.03218468337</v>
      </c>
      <c r="I19" s="30" t="s">
        <v>356</v>
      </c>
      <c r="J19" s="30"/>
      <c r="K19" s="205"/>
      <c r="L19" s="30"/>
      <c r="M19" s="30"/>
      <c r="N19" s="30"/>
      <c r="O19" s="30"/>
      <c r="P19" s="30"/>
      <c r="Q19" s="30"/>
      <c r="R19" s="30"/>
      <c r="S19" s="30"/>
      <c r="T19" s="30"/>
      <c r="U19" s="30"/>
      <c r="V19" s="30"/>
    </row>
    <row r="20" ht="12.75" customHeight="1">
      <c r="A20" s="30"/>
      <c r="B20" s="30" t="s">
        <v>357</v>
      </c>
      <c r="C20" s="30">
        <f>C18*C8^C19</f>
        <v>12.83893289</v>
      </c>
      <c r="D20" s="30" t="s">
        <v>43</v>
      </c>
      <c r="E20" s="30"/>
      <c r="F20" s="30"/>
      <c r="G20" s="30" t="s">
        <v>357</v>
      </c>
      <c r="H20" s="30">
        <f>H18*H8^H19</f>
        <v>6.680994174</v>
      </c>
      <c r="I20" s="30"/>
      <c r="J20" s="30"/>
      <c r="K20" s="205"/>
      <c r="L20" s="30"/>
      <c r="M20" s="30"/>
      <c r="N20" s="30"/>
      <c r="O20" s="30"/>
      <c r="P20" s="30"/>
      <c r="Q20" s="30"/>
      <c r="R20" s="30"/>
      <c r="S20" s="30"/>
      <c r="T20" s="30"/>
      <c r="U20" s="30"/>
      <c r="V20" s="30"/>
    </row>
    <row r="21" ht="12.75" customHeight="1">
      <c r="A21" s="30"/>
      <c r="B21" s="30"/>
      <c r="C21" s="30"/>
      <c r="D21" s="30"/>
      <c r="E21" s="30"/>
      <c r="F21" s="30"/>
      <c r="G21" s="30"/>
      <c r="H21" s="30"/>
      <c r="I21" s="30"/>
      <c r="J21" s="30"/>
      <c r="K21" s="205"/>
      <c r="L21" s="30"/>
      <c r="M21" s="30"/>
      <c r="N21" s="44"/>
      <c r="O21" s="30"/>
      <c r="P21" s="30"/>
      <c r="Q21" s="30"/>
      <c r="R21" s="30"/>
      <c r="S21" s="30"/>
      <c r="T21" s="30"/>
      <c r="U21" s="30"/>
      <c r="V21" s="30"/>
    </row>
    <row r="22" ht="12.75" customHeight="1">
      <c r="A22" s="30"/>
      <c r="B22" s="138" t="s">
        <v>358</v>
      </c>
      <c r="C22" s="30">
        <f>C20*C9</f>
        <v>749.793681</v>
      </c>
      <c r="D22" s="30"/>
      <c r="E22" s="30"/>
      <c r="F22" s="30"/>
      <c r="G22" s="138" t="s">
        <v>358</v>
      </c>
      <c r="H22" s="30">
        <f>IF(H8&lt;1, H14, H20)*H9</f>
        <v>390.1700597</v>
      </c>
      <c r="I22" s="30"/>
      <c r="J22" s="30"/>
      <c r="K22" s="205"/>
      <c r="L22" s="30"/>
      <c r="M22" s="30"/>
      <c r="N22" s="30"/>
      <c r="O22" s="30"/>
      <c r="P22" s="30"/>
      <c r="Q22" s="30"/>
      <c r="R22" s="30"/>
      <c r="S22" s="30"/>
      <c r="T22" s="30"/>
      <c r="U22" s="30"/>
      <c r="V22" s="30"/>
    </row>
    <row r="23" ht="12.75" customHeight="1">
      <c r="A23" s="30"/>
      <c r="B23" s="30"/>
      <c r="C23" s="30"/>
      <c r="D23" s="30"/>
      <c r="E23" s="30"/>
      <c r="F23" s="30"/>
      <c r="G23" s="30"/>
      <c r="H23" s="30"/>
      <c r="I23" s="30"/>
      <c r="J23" s="30"/>
      <c r="K23" s="205"/>
      <c r="L23" s="30"/>
      <c r="M23" s="30"/>
      <c r="N23" s="30"/>
      <c r="O23" s="30"/>
      <c r="P23" s="30"/>
      <c r="Q23" s="30"/>
      <c r="R23" s="30"/>
      <c r="S23" s="30"/>
      <c r="T23" s="30"/>
      <c r="U23" s="30"/>
      <c r="V23" s="30"/>
    </row>
    <row r="24" ht="12.75" customHeight="1">
      <c r="A24" s="30"/>
      <c r="B24" s="30"/>
      <c r="C24" s="30"/>
      <c r="D24" s="30"/>
      <c r="E24" s="30"/>
      <c r="F24" s="30"/>
      <c r="G24" s="30" t="s">
        <v>359</v>
      </c>
      <c r="H24" s="30" t="str">
        <f>'Design Calculator'!F79</f>
        <v>Yes</v>
      </c>
      <c r="I24" s="30"/>
      <c r="J24" s="30"/>
      <c r="K24" s="205"/>
      <c r="L24" s="30"/>
      <c r="M24" s="30"/>
      <c r="N24" s="30"/>
      <c r="O24" s="44"/>
      <c r="P24" s="30"/>
      <c r="Q24" s="30"/>
      <c r="R24" s="30"/>
      <c r="S24" s="30"/>
      <c r="T24" s="30"/>
      <c r="U24" s="30"/>
      <c r="V24" s="30"/>
    </row>
    <row r="25" ht="12.75" customHeight="1">
      <c r="A25" s="30"/>
      <c r="B25" s="44" t="s">
        <v>360</v>
      </c>
      <c r="C25" s="30">
        <f>(TJMAX-TJ)/(TJMAX-25)</f>
        <v>0.5485318333</v>
      </c>
      <c r="D25" s="205"/>
      <c r="E25" s="205"/>
      <c r="F25" s="205"/>
      <c r="G25" s="30" t="s">
        <v>361</v>
      </c>
      <c r="H25" s="126">
        <f>IF(H24="Yes", TJ,TAMB)</f>
        <v>92.720225</v>
      </c>
      <c r="I25" s="30"/>
      <c r="J25" s="30"/>
      <c r="K25" s="205"/>
      <c r="L25" s="30"/>
      <c r="M25" s="30"/>
      <c r="N25" s="30"/>
      <c r="O25" s="44"/>
      <c r="P25" s="30"/>
      <c r="Q25" s="30"/>
      <c r="R25" s="30"/>
      <c r="S25" s="30"/>
      <c r="T25" s="30"/>
      <c r="U25" s="30"/>
      <c r="V25" s="30"/>
    </row>
    <row r="26" ht="12.75" customHeight="1">
      <c r="A26" s="30"/>
      <c r="B26" s="138" t="s">
        <v>362</v>
      </c>
      <c r="C26" s="30">
        <f>IF((C22*C25)&lt;0,0.000000001,C22*C25)</f>
        <v>411.2857025</v>
      </c>
      <c r="D26" s="229" t="s">
        <v>57</v>
      </c>
      <c r="E26" s="205"/>
      <c r="F26" s="205"/>
      <c r="G26" s="30"/>
      <c r="H26" s="30"/>
      <c r="I26" s="30"/>
      <c r="J26" s="30"/>
      <c r="K26" s="205"/>
      <c r="L26" s="30"/>
      <c r="M26" s="30"/>
      <c r="N26" s="30"/>
      <c r="O26" s="30"/>
      <c r="P26" s="30"/>
      <c r="Q26" s="30"/>
      <c r="R26" s="30"/>
      <c r="S26" s="30"/>
      <c r="T26" s="30"/>
      <c r="U26" s="30"/>
      <c r="V26" s="30"/>
    </row>
    <row r="27" ht="12.75" customHeight="1">
      <c r="A27" s="30"/>
      <c r="B27" s="44"/>
      <c r="C27" s="44"/>
      <c r="D27" s="205"/>
      <c r="E27" s="205"/>
      <c r="F27" s="205"/>
      <c r="G27" s="44" t="s">
        <v>360</v>
      </c>
      <c r="H27" s="30">
        <f>(TJMAX-H25)/(TJMAX-25)</f>
        <v>0.5485318333</v>
      </c>
      <c r="I27" s="30"/>
      <c r="J27" s="30"/>
      <c r="K27" s="205"/>
      <c r="L27" s="30"/>
      <c r="M27" s="30"/>
      <c r="N27" s="30"/>
      <c r="O27" s="30"/>
      <c r="P27" s="30"/>
      <c r="Q27" s="30"/>
      <c r="R27" s="30"/>
      <c r="S27" s="30"/>
      <c r="T27" s="30"/>
      <c r="U27" s="30"/>
      <c r="V27" s="30"/>
    </row>
    <row r="28" ht="12.75" customHeight="1">
      <c r="A28" s="30"/>
      <c r="B28" s="44"/>
      <c r="C28" s="30"/>
      <c r="D28" s="205"/>
      <c r="E28" s="205"/>
      <c r="F28" s="205"/>
      <c r="G28" s="138" t="s">
        <v>362</v>
      </c>
      <c r="H28" s="30">
        <f>IF((H22*H27)&lt;0,0.000000001,H22*H27)</f>
        <v>214.0206982</v>
      </c>
      <c r="I28" s="30"/>
      <c r="J28" s="30"/>
      <c r="K28" s="205"/>
      <c r="L28" s="30"/>
      <c r="M28" s="30"/>
      <c r="N28" s="30"/>
      <c r="O28" s="30"/>
      <c r="P28" s="30"/>
      <c r="Q28" s="30"/>
      <c r="R28" s="30"/>
      <c r="S28" s="30"/>
      <c r="T28" s="30"/>
      <c r="U28" s="30"/>
      <c r="V28" s="30"/>
    </row>
    <row r="29" ht="12.75" customHeight="1">
      <c r="A29" s="30"/>
      <c r="B29" s="44" t="s">
        <v>363</v>
      </c>
      <c r="C29" s="30"/>
      <c r="D29" s="205"/>
      <c r="E29" s="205"/>
      <c r="F29" s="205"/>
      <c r="G29" s="30"/>
      <c r="H29" s="30"/>
      <c r="I29" s="192"/>
      <c r="J29" s="192"/>
      <c r="K29" s="192"/>
      <c r="L29" s="30"/>
      <c r="M29" s="30"/>
      <c r="N29" s="30"/>
      <c r="O29" s="30"/>
      <c r="P29" s="30"/>
      <c r="Q29" s="30"/>
      <c r="R29" s="30"/>
      <c r="S29" s="30"/>
      <c r="T29" s="30"/>
      <c r="U29" s="30"/>
      <c r="V29" s="30"/>
    </row>
    <row r="30" ht="12.75" customHeight="1">
      <c r="A30" s="30"/>
      <c r="B30" s="30"/>
      <c r="C30" s="212" t="s">
        <v>364</v>
      </c>
      <c r="D30" s="230" t="s">
        <v>365</v>
      </c>
      <c r="E30" s="230" t="s">
        <v>366</v>
      </c>
      <c r="F30" s="230" t="s">
        <v>367</v>
      </c>
      <c r="G30" s="205"/>
      <c r="H30" s="30"/>
      <c r="I30" s="192"/>
      <c r="J30" s="192"/>
      <c r="K30" s="192"/>
      <c r="L30" s="30"/>
      <c r="M30" s="30"/>
      <c r="N30" s="30"/>
      <c r="O30" s="30"/>
      <c r="P30" s="30"/>
      <c r="Q30" s="30"/>
      <c r="R30" s="30"/>
      <c r="S30" s="30"/>
      <c r="T30" s="30"/>
      <c r="U30" s="30"/>
      <c r="V30" s="30"/>
    </row>
    <row r="31" ht="12.75" customHeight="1">
      <c r="A31" s="30"/>
      <c r="B31" s="44" t="s">
        <v>368</v>
      </c>
      <c r="C31" s="44">
        <v>0.1</v>
      </c>
      <c r="D31" s="44">
        <v>1.0</v>
      </c>
      <c r="E31" s="205">
        <v>10.0</v>
      </c>
      <c r="F31" s="44">
        <v>100.0</v>
      </c>
      <c r="G31" s="227"/>
      <c r="H31" s="30"/>
      <c r="I31" s="30"/>
      <c r="J31" s="30"/>
      <c r="K31" s="30"/>
      <c r="L31" s="30"/>
      <c r="M31" s="30"/>
      <c r="N31" s="30"/>
      <c r="O31" s="30"/>
      <c r="P31" s="30"/>
      <c r="Q31" s="30"/>
      <c r="R31" s="30"/>
      <c r="S31" s="30"/>
      <c r="T31" s="30"/>
      <c r="U31" s="30"/>
      <c r="V31" s="30"/>
    </row>
    <row r="32" ht="12.75" customHeight="1">
      <c r="A32" s="30"/>
      <c r="B32" s="44" t="s">
        <v>369</v>
      </c>
      <c r="C32" s="44">
        <v>1.0</v>
      </c>
      <c r="D32" s="44">
        <v>10.0</v>
      </c>
      <c r="E32" s="205">
        <v>100.0</v>
      </c>
      <c r="F32" s="44">
        <v>1000.0</v>
      </c>
      <c r="G32" s="138"/>
      <c r="H32" s="30"/>
      <c r="I32" s="30"/>
      <c r="J32" s="30"/>
      <c r="K32" s="30"/>
      <c r="L32" s="30"/>
      <c r="M32" s="30"/>
      <c r="N32" s="30"/>
      <c r="O32" s="30"/>
      <c r="P32" s="30"/>
      <c r="Q32" s="30"/>
      <c r="R32" s="30"/>
      <c r="S32" s="30"/>
      <c r="T32" s="30"/>
      <c r="U32" s="30"/>
      <c r="V32" s="30"/>
    </row>
    <row r="33" ht="12.75" customHeight="1">
      <c r="B33" s="44" t="s">
        <v>354</v>
      </c>
      <c r="C33" s="44">
        <f t="shared" ref="C33:D33" si="1">B4/(C31^C34)</f>
        <v>15</v>
      </c>
      <c r="D33" s="44">
        <f t="shared" si="1"/>
        <v>15</v>
      </c>
      <c r="E33" s="44">
        <f>IF('Design Calculator'!F59="NA",D33,D4/(E31^E34))</f>
        <v>7.538461538</v>
      </c>
      <c r="F33" s="44">
        <f>IF('Design Calculator'!F59="NA", E33, E4/(F31^F34))</f>
        <v>6.5</v>
      </c>
      <c r="G33" s="30"/>
      <c r="H33" s="30"/>
      <c r="I33" s="30"/>
      <c r="J33" s="30"/>
      <c r="K33" s="30"/>
      <c r="L33" s="30"/>
      <c r="M33" s="30"/>
      <c r="N33" s="30"/>
      <c r="O33" s="30"/>
      <c r="P33" s="30"/>
      <c r="Q33" s="30"/>
      <c r="R33" s="30"/>
      <c r="S33" s="30"/>
      <c r="T33" s="30"/>
      <c r="U33" s="30"/>
      <c r="V33" s="30"/>
    </row>
    <row r="34" ht="12.75" customHeight="1">
      <c r="B34" s="44" t="s">
        <v>355</v>
      </c>
      <c r="C34" s="205">
        <f t="shared" ref="C34:D34" si="2">LOG(B4/C4)/LOG(C31/C32)</f>
        <v>-0.7781512504</v>
      </c>
      <c r="D34" s="205">
        <f t="shared" si="2"/>
        <v>-0.330993219</v>
      </c>
      <c r="E34" s="205">
        <f>IF('Design Calculator'!F59="NA", D34, LOG(D4/E4)/LOG(E31/E32))</f>
        <v>-0.03218468337</v>
      </c>
      <c r="F34" s="205">
        <f>IF('Design Calculator'!F59="NA",E34,LOG(E4/F4)/LOG(F31/F32))</f>
        <v>0</v>
      </c>
      <c r="G34" s="30"/>
      <c r="H34" s="30"/>
      <c r="I34" s="30"/>
      <c r="J34" s="30"/>
      <c r="K34" s="30"/>
      <c r="L34" s="30"/>
      <c r="M34" s="30"/>
      <c r="N34" s="30"/>
      <c r="O34" s="30"/>
      <c r="P34" s="30"/>
      <c r="Q34" s="30"/>
      <c r="R34" s="30"/>
      <c r="S34" s="30"/>
      <c r="T34" s="30"/>
      <c r="U34" s="30"/>
      <c r="V34" s="30"/>
    </row>
    <row r="35" ht="12.75" customHeight="1">
      <c r="B35" s="30"/>
      <c r="C35" s="30"/>
      <c r="D35" s="30"/>
      <c r="E35" s="205"/>
      <c r="F35" s="30"/>
      <c r="G35" s="30"/>
      <c r="H35" s="30"/>
      <c r="I35" s="30"/>
      <c r="J35" s="30"/>
      <c r="K35" s="30"/>
      <c r="L35" s="30"/>
      <c r="M35" s="30"/>
      <c r="N35" s="30"/>
      <c r="O35" s="30"/>
      <c r="P35" s="30"/>
      <c r="Q35" s="30"/>
      <c r="R35" s="30"/>
      <c r="S35" s="30"/>
      <c r="T35" s="30"/>
      <c r="U35" s="30"/>
      <c r="V35" s="30"/>
    </row>
    <row r="36" ht="12.75" customHeight="1">
      <c r="B36" s="231" t="s">
        <v>370</v>
      </c>
      <c r="D36" s="30"/>
      <c r="E36" s="205"/>
      <c r="F36" s="30"/>
      <c r="G36" s="30"/>
      <c r="H36" s="30"/>
      <c r="I36" s="30"/>
      <c r="J36" s="30"/>
      <c r="K36" s="30"/>
      <c r="L36" s="30"/>
      <c r="M36" s="30"/>
      <c r="N36" s="30"/>
      <c r="O36" s="30"/>
      <c r="P36" s="30"/>
      <c r="Q36" s="30"/>
      <c r="R36" s="30"/>
      <c r="S36" s="30"/>
      <c r="T36" s="30"/>
      <c r="U36" s="30"/>
      <c r="V36" s="30"/>
    </row>
    <row r="37" ht="12.75" customHeight="1">
      <c r="B37" s="232" t="s">
        <v>371</v>
      </c>
      <c r="C37" s="233" t="s">
        <v>372</v>
      </c>
      <c r="D37" s="30"/>
      <c r="E37" s="205"/>
      <c r="F37" s="30"/>
      <c r="G37" s="30"/>
      <c r="H37" s="30"/>
      <c r="I37" s="30"/>
      <c r="J37" s="30"/>
      <c r="K37" s="30"/>
      <c r="L37" s="30"/>
      <c r="M37" s="30"/>
      <c r="N37" s="30"/>
      <c r="O37" s="30"/>
      <c r="P37" s="30"/>
      <c r="Q37" s="30"/>
      <c r="R37" s="30"/>
      <c r="S37" s="30"/>
      <c r="T37" s="30"/>
      <c r="U37" s="30"/>
      <c r="V37" s="30"/>
    </row>
    <row r="38" ht="12.75" customHeight="1">
      <c r="B38" s="234" t="s">
        <v>373</v>
      </c>
      <c r="C38" s="235" t="s">
        <v>374</v>
      </c>
      <c r="D38" s="30"/>
      <c r="E38" s="205"/>
      <c r="F38" s="30"/>
      <c r="G38" s="30"/>
      <c r="H38" s="30"/>
      <c r="I38" s="30"/>
      <c r="J38" s="30"/>
      <c r="K38" s="30"/>
      <c r="L38" s="30"/>
      <c r="M38" s="30"/>
      <c r="N38" s="30"/>
      <c r="O38" s="30"/>
      <c r="P38" s="30"/>
      <c r="Q38" s="30"/>
      <c r="R38" s="30"/>
      <c r="S38" s="30"/>
      <c r="T38" s="30"/>
      <c r="U38" s="30"/>
      <c r="V38" s="30"/>
    </row>
    <row r="39" ht="12.75" customHeight="1">
      <c r="B39" s="236">
        <v>1.0</v>
      </c>
      <c r="C39" s="237">
        <f>SOA!$C$26/B39</f>
        <v>411.2857025</v>
      </c>
      <c r="D39" s="30"/>
      <c r="E39" s="205"/>
      <c r="F39" s="30"/>
      <c r="G39" s="30"/>
      <c r="H39" s="30"/>
      <c r="I39" s="30"/>
      <c r="J39" s="30"/>
      <c r="K39" s="30"/>
      <c r="L39" s="30"/>
      <c r="M39" s="30"/>
      <c r="N39" s="30"/>
      <c r="O39" s="30"/>
      <c r="P39" s="30"/>
      <c r="Q39" s="30"/>
      <c r="R39" s="30"/>
      <c r="S39" s="30"/>
      <c r="T39" s="30"/>
      <c r="U39" s="30"/>
      <c r="V39" s="30"/>
    </row>
    <row r="40" ht="12.75" customHeight="1">
      <c r="B40" s="236">
        <v>1.2</v>
      </c>
      <c r="C40" s="237">
        <f>SOA!$C$26/B40</f>
        <v>342.7380854</v>
      </c>
      <c r="D40" s="30"/>
      <c r="E40" s="205"/>
      <c r="F40" s="30"/>
      <c r="G40" s="30"/>
      <c r="H40" s="30"/>
      <c r="I40" s="30"/>
      <c r="J40" s="30"/>
      <c r="K40" s="30"/>
      <c r="L40" s="30"/>
      <c r="M40" s="30"/>
      <c r="N40" s="30"/>
      <c r="O40" s="30"/>
      <c r="P40" s="30"/>
      <c r="Q40" s="30"/>
      <c r="R40" s="30"/>
      <c r="S40" s="30"/>
      <c r="T40" s="30"/>
      <c r="U40" s="30"/>
      <c r="V40" s="30"/>
    </row>
    <row r="41" ht="12.75" customHeight="1">
      <c r="B41" s="236">
        <v>30.0</v>
      </c>
      <c r="C41" s="237">
        <f>SOA!$C$26/B41</f>
        <v>13.70952342</v>
      </c>
      <c r="D41" s="30"/>
      <c r="E41" s="205"/>
      <c r="F41" s="30"/>
      <c r="G41" s="30"/>
      <c r="H41" s="30"/>
      <c r="I41" s="30"/>
      <c r="J41" s="30"/>
      <c r="K41" s="30"/>
      <c r="L41" s="30"/>
      <c r="M41" s="30"/>
      <c r="N41" s="30"/>
      <c r="O41" s="30"/>
      <c r="P41" s="30"/>
      <c r="Q41" s="30"/>
      <c r="R41" s="30"/>
      <c r="S41" s="30"/>
      <c r="T41" s="30"/>
      <c r="U41" s="30"/>
      <c r="V41" s="30"/>
    </row>
    <row r="42" ht="12.75" customHeight="1">
      <c r="B42" s="236"/>
      <c r="C42" s="237"/>
      <c r="D42" s="30"/>
      <c r="E42" s="205"/>
      <c r="F42" s="30"/>
      <c r="G42" s="30"/>
      <c r="H42" s="30"/>
      <c r="I42" s="30"/>
      <c r="J42" s="30"/>
      <c r="K42" s="30"/>
      <c r="L42" s="30"/>
      <c r="M42" s="30"/>
      <c r="N42" s="30"/>
      <c r="O42" s="30"/>
      <c r="P42" s="30"/>
      <c r="Q42" s="30"/>
      <c r="R42" s="30"/>
      <c r="S42" s="30"/>
      <c r="T42" s="30"/>
      <c r="U42" s="30"/>
      <c r="V42" s="30"/>
    </row>
    <row r="43" ht="12.75" customHeight="1">
      <c r="B43" s="238"/>
      <c r="C43" s="239"/>
      <c r="D43" s="30"/>
      <c r="E43" s="205"/>
      <c r="F43" s="30"/>
      <c r="G43" s="30"/>
      <c r="H43" s="30"/>
      <c r="I43" s="30"/>
      <c r="J43" s="30"/>
      <c r="K43" s="30"/>
      <c r="L43" s="30"/>
      <c r="M43" s="30"/>
      <c r="N43" s="30"/>
      <c r="O43" s="30"/>
      <c r="P43" s="30"/>
      <c r="Q43" s="30"/>
      <c r="R43" s="30"/>
      <c r="S43" s="30"/>
      <c r="T43" s="30"/>
      <c r="U43" s="30"/>
      <c r="V43" s="30"/>
    </row>
    <row r="44" ht="12.75" customHeight="1">
      <c r="B44" s="30"/>
      <c r="C44" s="30"/>
      <c r="D44" s="30"/>
      <c r="E44" s="205"/>
      <c r="F44" s="30"/>
      <c r="G44" s="30"/>
      <c r="H44" s="30"/>
      <c r="I44" s="30"/>
      <c r="J44" s="30"/>
      <c r="K44" s="30"/>
      <c r="L44" s="30"/>
      <c r="M44" s="30"/>
      <c r="N44" s="30"/>
      <c r="O44" s="30"/>
      <c r="P44" s="30"/>
      <c r="Q44" s="30"/>
      <c r="R44" s="30"/>
      <c r="S44" s="30"/>
      <c r="T44" s="30"/>
      <c r="U44" s="30"/>
      <c r="V44" s="30"/>
    </row>
    <row r="45" ht="12.75" customHeight="1">
      <c r="B45" s="30"/>
      <c r="C45" s="30"/>
      <c r="D45" s="30"/>
      <c r="E45" s="205"/>
      <c r="F45" s="30"/>
      <c r="G45" s="30"/>
      <c r="H45" s="30"/>
      <c r="I45" s="30"/>
      <c r="J45" s="30"/>
      <c r="K45" s="30"/>
      <c r="L45" s="30"/>
      <c r="M45" s="30"/>
      <c r="N45" s="30"/>
      <c r="O45" s="30"/>
      <c r="P45" s="30"/>
      <c r="Q45" s="30"/>
      <c r="R45" s="30"/>
      <c r="S45" s="30"/>
      <c r="T45" s="30"/>
      <c r="U45" s="30"/>
      <c r="V45" s="30"/>
    </row>
    <row r="46" ht="12.75" customHeight="1">
      <c r="B46" s="30"/>
      <c r="C46" s="30"/>
      <c r="D46" s="30"/>
      <c r="E46" s="205"/>
      <c r="F46" s="30"/>
      <c r="G46" s="138"/>
      <c r="H46" s="30"/>
      <c r="I46" s="30"/>
      <c r="J46" s="30"/>
      <c r="K46" s="30"/>
      <c r="L46" s="30"/>
      <c r="M46" s="30"/>
      <c r="N46" s="30"/>
      <c r="O46" s="30"/>
      <c r="P46" s="30"/>
      <c r="Q46" s="30"/>
      <c r="R46" s="30"/>
      <c r="S46" s="30"/>
      <c r="T46" s="30"/>
      <c r="U46" s="30"/>
      <c r="V46" s="30"/>
    </row>
    <row r="47" ht="12.75" customHeight="1">
      <c r="B47" s="30"/>
      <c r="C47" s="30"/>
      <c r="D47" s="30"/>
      <c r="E47" s="205"/>
      <c r="F47" s="30"/>
      <c r="G47" s="30"/>
      <c r="H47" s="30"/>
      <c r="I47" s="30"/>
      <c r="J47" s="30"/>
      <c r="K47" s="30"/>
      <c r="L47" s="30"/>
      <c r="M47" s="30"/>
      <c r="N47" s="30"/>
      <c r="O47" s="30"/>
      <c r="P47" s="30"/>
      <c r="Q47" s="30"/>
      <c r="R47" s="30"/>
      <c r="S47" s="30"/>
      <c r="T47" s="30"/>
      <c r="U47" s="30"/>
      <c r="V47" s="30"/>
    </row>
    <row r="48" ht="12.75" customHeight="1">
      <c r="B48" s="30"/>
      <c r="C48" s="30"/>
      <c r="D48" s="30"/>
      <c r="E48" s="205"/>
      <c r="F48" s="30"/>
      <c r="G48" s="30"/>
      <c r="H48" s="30"/>
      <c r="I48" s="30"/>
      <c r="J48" s="30"/>
      <c r="K48" s="30"/>
      <c r="L48" s="30"/>
      <c r="M48" s="30"/>
      <c r="N48" s="30"/>
      <c r="O48" s="30"/>
      <c r="P48" s="30"/>
      <c r="Q48" s="30"/>
      <c r="R48" s="30"/>
      <c r="S48" s="30"/>
      <c r="T48" s="30"/>
      <c r="U48" s="30"/>
      <c r="V48" s="30"/>
    </row>
    <row r="49" ht="12.75" customHeight="1">
      <c r="A49" s="30"/>
      <c r="B49" s="30"/>
      <c r="C49" s="30"/>
      <c r="D49" s="30"/>
      <c r="E49" s="205"/>
      <c r="F49" s="30"/>
      <c r="G49" s="44"/>
      <c r="H49" s="30"/>
      <c r="I49" s="30"/>
      <c r="J49" s="30"/>
      <c r="K49" s="30"/>
      <c r="L49" s="30"/>
      <c r="M49" s="30"/>
      <c r="N49" s="30"/>
      <c r="O49" s="30"/>
      <c r="P49" s="30"/>
      <c r="Q49" s="30"/>
      <c r="R49" s="30"/>
      <c r="S49" s="30"/>
      <c r="T49" s="30"/>
      <c r="U49" s="30"/>
      <c r="V49" s="30"/>
    </row>
    <row r="50" ht="12.75" customHeight="1">
      <c r="A50" s="30"/>
      <c r="B50" s="30"/>
      <c r="C50" s="30"/>
      <c r="D50" s="30"/>
      <c r="E50" s="205"/>
      <c r="F50" s="30"/>
      <c r="G50" s="138"/>
      <c r="H50" s="30"/>
      <c r="I50" s="30"/>
      <c r="J50" s="30"/>
      <c r="K50" s="30"/>
      <c r="L50" s="30"/>
      <c r="M50" s="30"/>
      <c r="N50" s="30"/>
      <c r="O50" s="30"/>
      <c r="P50" s="30"/>
      <c r="Q50" s="30"/>
      <c r="R50" s="30"/>
      <c r="S50" s="30"/>
      <c r="T50" s="30"/>
      <c r="U50" s="30"/>
      <c r="V50" s="30"/>
    </row>
    <row r="51" ht="12.75" customHeight="1">
      <c r="A51" s="30"/>
      <c r="B51" s="30"/>
      <c r="C51" s="30"/>
      <c r="D51" s="30"/>
      <c r="E51" s="205"/>
      <c r="F51" s="205"/>
      <c r="G51" s="205"/>
      <c r="H51" s="30"/>
      <c r="I51" s="30"/>
      <c r="J51" s="30"/>
      <c r="K51" s="30"/>
      <c r="L51" s="30"/>
      <c r="M51" s="30"/>
      <c r="N51" s="30"/>
      <c r="O51" s="30"/>
      <c r="P51" s="30"/>
      <c r="Q51" s="30"/>
      <c r="R51" s="30"/>
      <c r="S51" s="30"/>
      <c r="T51" s="30"/>
      <c r="U51" s="30"/>
      <c r="V51" s="30"/>
    </row>
    <row r="52" ht="12.75" customHeight="1">
      <c r="A52" s="30"/>
      <c r="B52" s="30"/>
      <c r="C52" s="30"/>
      <c r="D52" s="30"/>
      <c r="E52" s="205"/>
      <c r="F52" s="205"/>
      <c r="G52" s="205"/>
      <c r="H52" s="30"/>
      <c r="I52" s="30"/>
      <c r="J52" s="30"/>
      <c r="K52" s="30"/>
      <c r="L52" s="30"/>
      <c r="M52" s="30"/>
      <c r="N52" s="30"/>
      <c r="O52" s="30"/>
      <c r="P52" s="30"/>
      <c r="Q52" s="30"/>
      <c r="R52" s="30"/>
      <c r="S52" s="30"/>
      <c r="T52" s="30"/>
      <c r="U52" s="30"/>
      <c r="V52" s="30"/>
    </row>
    <row r="53" ht="12.75" customHeight="1">
      <c r="A53" s="30"/>
      <c r="B53" s="30"/>
      <c r="C53" s="44"/>
      <c r="D53" s="205"/>
      <c r="E53" s="205"/>
      <c r="F53" s="205"/>
      <c r="G53" s="205"/>
      <c r="H53" s="30"/>
      <c r="I53" s="30"/>
      <c r="J53" s="30"/>
      <c r="K53" s="30"/>
      <c r="L53" s="30"/>
      <c r="M53" s="30"/>
      <c r="N53" s="30"/>
      <c r="O53" s="30"/>
      <c r="P53" s="30"/>
      <c r="Q53" s="30"/>
      <c r="R53" s="30"/>
      <c r="S53" s="30"/>
      <c r="T53" s="30"/>
      <c r="U53" s="30"/>
      <c r="V53" s="30"/>
    </row>
    <row r="54" ht="12.75" customHeight="1">
      <c r="A54" s="30"/>
      <c r="B54" s="30"/>
      <c r="C54" s="44"/>
      <c r="D54" s="205"/>
      <c r="E54" s="205"/>
      <c r="F54" s="205"/>
      <c r="G54" s="205"/>
      <c r="H54" s="30"/>
      <c r="I54" s="30"/>
      <c r="J54" s="30"/>
      <c r="K54" s="30"/>
      <c r="L54" s="30"/>
      <c r="M54" s="30"/>
      <c r="N54" s="30"/>
      <c r="O54" s="30"/>
      <c r="P54" s="30"/>
      <c r="Q54" s="30"/>
      <c r="R54" s="30"/>
      <c r="S54" s="30"/>
      <c r="T54" s="30"/>
      <c r="U54" s="30"/>
      <c r="V54" s="30"/>
    </row>
    <row r="55" ht="12.75" customHeight="1">
      <c r="A55" s="30"/>
      <c r="B55" s="30"/>
      <c r="C55" s="44"/>
      <c r="D55" s="205"/>
      <c r="E55" s="205"/>
      <c r="F55" s="205"/>
      <c r="G55" s="205"/>
      <c r="H55" s="30"/>
      <c r="I55" s="30"/>
      <c r="J55" s="30"/>
      <c r="K55" s="30"/>
      <c r="L55" s="30"/>
      <c r="M55" s="30"/>
      <c r="N55" s="30"/>
      <c r="O55" s="30"/>
      <c r="P55" s="30"/>
      <c r="Q55" s="30"/>
      <c r="R55" s="30"/>
      <c r="S55" s="30"/>
      <c r="T55" s="30"/>
      <c r="U55" s="30"/>
      <c r="V55" s="30"/>
    </row>
    <row r="56" ht="12.75" customHeight="1">
      <c r="A56" s="30"/>
      <c r="B56" s="30"/>
      <c r="C56" s="44"/>
      <c r="D56" s="205"/>
      <c r="E56" s="205"/>
      <c r="F56" s="205"/>
      <c r="G56" s="205"/>
      <c r="H56" s="30"/>
      <c r="I56" s="30"/>
      <c r="J56" s="30"/>
      <c r="K56" s="30"/>
      <c r="L56" s="30"/>
      <c r="M56" s="30"/>
      <c r="N56" s="30"/>
      <c r="O56" s="30"/>
      <c r="P56" s="30"/>
      <c r="Q56" s="30"/>
      <c r="R56" s="30"/>
      <c r="S56" s="30"/>
      <c r="T56" s="30"/>
      <c r="U56" s="30"/>
      <c r="V56" s="30"/>
    </row>
    <row r="57" ht="12.75" customHeight="1">
      <c r="A57" s="30"/>
      <c r="B57" s="30"/>
      <c r="C57" s="44"/>
      <c r="D57" s="205"/>
      <c r="E57" s="205"/>
      <c r="F57" s="205"/>
      <c r="G57" s="205"/>
      <c r="H57" s="30"/>
      <c r="I57" s="30"/>
      <c r="J57" s="30"/>
      <c r="K57" s="30"/>
      <c r="L57" s="30"/>
      <c r="M57" s="30"/>
      <c r="N57" s="30"/>
      <c r="O57" s="30"/>
      <c r="P57" s="30"/>
      <c r="Q57" s="30"/>
      <c r="R57" s="30"/>
      <c r="S57" s="30"/>
      <c r="T57" s="30"/>
      <c r="U57" s="30"/>
      <c r="V57" s="30"/>
    </row>
    <row r="58" ht="12.75" customHeight="1">
      <c r="A58" s="30"/>
      <c r="B58" s="30"/>
      <c r="C58" s="44"/>
      <c r="D58" s="205"/>
      <c r="E58" s="205"/>
      <c r="F58" s="205"/>
      <c r="G58" s="205"/>
      <c r="H58" s="30"/>
      <c r="I58" s="30"/>
      <c r="J58" s="30"/>
      <c r="K58" s="30"/>
      <c r="L58" s="30"/>
      <c r="M58" s="30"/>
      <c r="N58" s="30"/>
      <c r="O58" s="30"/>
      <c r="P58" s="30"/>
      <c r="Q58" s="30"/>
      <c r="R58" s="30"/>
      <c r="S58" s="30"/>
      <c r="T58" s="30"/>
      <c r="U58" s="30"/>
      <c r="V58" s="30"/>
    </row>
    <row r="59" ht="12.75" customHeight="1">
      <c r="A59" s="30"/>
      <c r="B59" s="30"/>
      <c r="C59" s="44"/>
      <c r="D59" s="205"/>
      <c r="E59" s="205"/>
      <c r="F59" s="205"/>
      <c r="G59" s="205"/>
      <c r="H59" s="30"/>
      <c r="I59" s="30"/>
      <c r="J59" s="30"/>
      <c r="K59" s="30"/>
      <c r="L59" s="30"/>
      <c r="M59" s="30"/>
      <c r="N59" s="30"/>
      <c r="O59" s="30"/>
      <c r="P59" s="30"/>
      <c r="Q59" s="30"/>
      <c r="R59" s="30"/>
      <c r="S59" s="30"/>
      <c r="T59" s="30"/>
      <c r="U59" s="30"/>
      <c r="V59" s="30"/>
    </row>
    <row r="60" ht="12.75" customHeight="1">
      <c r="A60" s="30"/>
      <c r="B60" s="30"/>
      <c r="C60" s="44"/>
      <c r="D60" s="205"/>
      <c r="E60" s="205"/>
      <c r="F60" s="205"/>
      <c r="G60" s="205"/>
      <c r="H60" s="30"/>
      <c r="I60" s="30"/>
      <c r="J60" s="30"/>
      <c r="K60" s="30"/>
      <c r="L60" s="30"/>
      <c r="M60" s="30"/>
      <c r="N60" s="30"/>
      <c r="O60" s="30"/>
      <c r="P60" s="30"/>
      <c r="Q60" s="30"/>
      <c r="R60" s="30"/>
      <c r="S60" s="30"/>
      <c r="T60" s="30"/>
      <c r="U60" s="30"/>
      <c r="V60" s="30"/>
    </row>
    <row r="61" ht="12.75" customHeight="1">
      <c r="A61" s="30"/>
      <c r="B61" s="30"/>
      <c r="C61" s="44"/>
      <c r="D61" s="205"/>
      <c r="E61" s="205"/>
      <c r="F61" s="205"/>
      <c r="G61" s="205"/>
      <c r="H61" s="30"/>
      <c r="I61" s="30"/>
      <c r="J61" s="30"/>
      <c r="K61" s="30"/>
      <c r="L61" s="30"/>
      <c r="M61" s="30"/>
      <c r="N61" s="30"/>
      <c r="O61" s="30"/>
      <c r="P61" s="30"/>
      <c r="Q61" s="30"/>
      <c r="R61" s="30"/>
      <c r="S61" s="30"/>
      <c r="T61" s="30"/>
      <c r="U61" s="30"/>
      <c r="V61" s="30"/>
    </row>
    <row r="62" ht="12.75" customHeight="1">
      <c r="A62" s="30"/>
      <c r="B62" s="30"/>
      <c r="C62" s="44"/>
      <c r="D62" s="205"/>
      <c r="E62" s="205"/>
      <c r="F62" s="205"/>
      <c r="G62" s="205"/>
      <c r="H62" s="30"/>
      <c r="I62" s="30"/>
      <c r="J62" s="30"/>
      <c r="K62" s="30"/>
      <c r="L62" s="30"/>
      <c r="M62" s="30"/>
      <c r="N62" s="30"/>
      <c r="O62" s="30"/>
      <c r="P62" s="30"/>
      <c r="Q62" s="30"/>
      <c r="R62" s="30"/>
      <c r="S62" s="30"/>
      <c r="T62" s="30"/>
      <c r="U62" s="30"/>
      <c r="V62" s="30"/>
    </row>
    <row r="63" ht="12.75" customHeight="1">
      <c r="A63" s="30"/>
      <c r="B63" s="30"/>
      <c r="C63" s="44"/>
      <c r="D63" s="205"/>
      <c r="E63" s="205"/>
      <c r="F63" s="205"/>
      <c r="G63" s="205"/>
      <c r="H63" s="30"/>
      <c r="I63" s="30"/>
      <c r="J63" s="30"/>
      <c r="K63" s="30"/>
      <c r="L63" s="30"/>
      <c r="M63" s="30"/>
      <c r="N63" s="30"/>
      <c r="O63" s="30"/>
      <c r="P63" s="30"/>
      <c r="Q63" s="30"/>
      <c r="R63" s="30"/>
      <c r="S63" s="30"/>
      <c r="T63" s="30"/>
      <c r="U63" s="30"/>
      <c r="V63" s="30"/>
    </row>
    <row r="64" ht="12.75" customHeight="1">
      <c r="A64" s="30"/>
      <c r="B64" s="30"/>
      <c r="C64" s="44"/>
      <c r="D64" s="205"/>
      <c r="E64" s="205"/>
      <c r="F64" s="205"/>
      <c r="G64" s="205"/>
      <c r="H64" s="30"/>
      <c r="I64" s="30"/>
      <c r="J64" s="30"/>
      <c r="K64" s="30"/>
      <c r="L64" s="30"/>
      <c r="M64" s="30"/>
      <c r="N64" s="30"/>
      <c r="O64" s="30"/>
      <c r="P64" s="30"/>
      <c r="Q64" s="30"/>
      <c r="R64" s="30"/>
      <c r="S64" s="30"/>
      <c r="T64" s="30"/>
      <c r="U64" s="30"/>
      <c r="V64" s="30"/>
    </row>
    <row r="65" ht="12.75" customHeight="1">
      <c r="A65" s="30"/>
      <c r="B65" s="30"/>
      <c r="C65" s="44"/>
      <c r="D65" s="205"/>
      <c r="E65" s="205"/>
      <c r="F65" s="205"/>
      <c r="G65" s="205"/>
    </row>
    <row r="66" ht="12.75" customHeight="1">
      <c r="A66" s="30"/>
      <c r="B66" s="30"/>
      <c r="C66" s="44"/>
      <c r="D66" s="205"/>
      <c r="E66" s="205"/>
      <c r="F66" s="205"/>
      <c r="G66" s="205"/>
    </row>
    <row r="67" ht="12.75" customHeight="1">
      <c r="A67" s="30"/>
      <c r="B67" s="30"/>
      <c r="C67" s="44"/>
      <c r="D67" s="205"/>
      <c r="E67" s="205"/>
      <c r="F67" s="205"/>
      <c r="G67" s="205"/>
    </row>
    <row r="68" ht="12.75" customHeight="1">
      <c r="A68" s="30"/>
      <c r="B68" s="30"/>
      <c r="C68" s="44"/>
      <c r="D68" s="205"/>
      <c r="E68" s="205"/>
      <c r="F68" s="205"/>
      <c r="G68" s="205"/>
    </row>
    <row r="69" ht="12.75" customHeight="1">
      <c r="A69" s="30"/>
      <c r="B69" s="30"/>
      <c r="C69" s="44"/>
      <c r="D69" s="205"/>
      <c r="E69" s="205"/>
      <c r="F69" s="205"/>
      <c r="G69" s="205"/>
    </row>
    <row r="70" ht="12.75" customHeight="1">
      <c r="A70" s="30"/>
      <c r="B70" s="30"/>
      <c r="C70" s="30"/>
      <c r="D70" s="30"/>
      <c r="E70" s="30"/>
      <c r="F70" s="30"/>
      <c r="G70" s="30"/>
    </row>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C2:E2"/>
    <mergeCell ref="N5:P5"/>
    <mergeCell ref="R5:T5"/>
  </mergeCells>
  <printOptions/>
  <pageMargins bottom="0.75" footer="0.0" header="0.0" left="0.7" right="0.7" top="0.75"/>
  <pageSetup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3" width="8.75"/>
    <col customWidth="1" min="4" max="4" width="37.38"/>
    <col customWidth="1" min="5" max="5" width="15.75"/>
    <col customWidth="1" min="6" max="8" width="8.75"/>
    <col customWidth="1" min="9" max="9" width="13.25"/>
    <col customWidth="1" min="10" max="10" width="11.75"/>
    <col customWidth="1" min="11" max="11" width="11.38"/>
    <col customWidth="1" min="12" max="12" width="15.0"/>
    <col customWidth="1" min="13" max="13" width="13.75"/>
    <col customWidth="1" min="14" max="26" width="8.75"/>
  </cols>
  <sheetData>
    <row r="1" ht="12.75" customHeight="1"/>
    <row r="2" ht="12.75" customHeight="1"/>
    <row r="3" ht="12.75" customHeight="1"/>
    <row r="4" ht="12.75" customHeight="1"/>
    <row r="5" ht="12.75" customHeight="1">
      <c r="C5" s="30" t="s">
        <v>375</v>
      </c>
      <c r="D5" s="30"/>
    </row>
    <row r="6" ht="12.75" customHeight="1"/>
    <row r="7" ht="12.75" customHeight="1">
      <c r="C7" s="30" t="s">
        <v>376</v>
      </c>
      <c r="D7" s="30"/>
    </row>
    <row r="8" ht="12.75" customHeight="1">
      <c r="C8" s="30" t="s">
        <v>377</v>
      </c>
      <c r="D8" s="30"/>
    </row>
    <row r="9" ht="12.75" customHeight="1"/>
    <row r="10" ht="12.75" customHeight="1">
      <c r="C10" s="30" t="s">
        <v>378</v>
      </c>
      <c r="D10" s="30"/>
    </row>
    <row r="11" ht="12.75" customHeight="1">
      <c r="C11" s="30" t="s">
        <v>379</v>
      </c>
      <c r="D11" s="30"/>
    </row>
    <row r="12" ht="12.75" customHeight="1">
      <c r="C12" s="30" t="s">
        <v>380</v>
      </c>
      <c r="D12" s="30"/>
    </row>
    <row r="13" ht="12.75" customHeight="1">
      <c r="C13" s="30" t="s">
        <v>381</v>
      </c>
      <c r="D13" s="30"/>
    </row>
    <row r="14" ht="12.75" customHeight="1">
      <c r="C14" s="30" t="s">
        <v>382</v>
      </c>
      <c r="D14" s="30" t="s">
        <v>383</v>
      </c>
    </row>
    <row r="15" ht="12.0" customHeight="1">
      <c r="C15" s="30"/>
      <c r="D15" s="30" t="s">
        <v>384</v>
      </c>
    </row>
    <row r="16" ht="12.0" customHeight="1">
      <c r="C16" s="30"/>
      <c r="D16" s="30"/>
    </row>
    <row r="17" ht="12.0" customHeight="1">
      <c r="C17" s="30"/>
      <c r="D17" s="30"/>
      <c r="E17" s="30"/>
      <c r="F17" s="30"/>
      <c r="G17" s="30"/>
      <c r="H17" s="30"/>
      <c r="I17" s="30"/>
      <c r="J17" s="30"/>
      <c r="K17" s="30"/>
      <c r="L17" s="30"/>
      <c r="M17" s="30"/>
    </row>
    <row r="18" ht="12.0" customHeight="1">
      <c r="C18" s="30"/>
      <c r="D18" s="212" t="s">
        <v>385</v>
      </c>
      <c r="E18" s="30"/>
      <c r="F18" s="30"/>
      <c r="G18" s="30"/>
      <c r="H18" s="30"/>
      <c r="I18" s="30"/>
      <c r="J18" s="30"/>
      <c r="K18" s="30"/>
      <c r="L18" s="30"/>
      <c r="M18" s="30"/>
    </row>
    <row r="19" ht="12.75" customHeight="1">
      <c r="C19" s="30"/>
      <c r="D19" s="30" t="s">
        <v>386</v>
      </c>
      <c r="E19" s="126">
        <f>SOA!H25</f>
        <v>92.720225</v>
      </c>
      <c r="F19" s="30"/>
      <c r="G19" s="30"/>
      <c r="H19" s="30"/>
      <c r="I19" s="30"/>
      <c r="J19" s="30"/>
      <c r="K19" s="30"/>
      <c r="L19" s="30"/>
      <c r="M19" s="30"/>
    </row>
    <row r="20" ht="12.75" customHeight="1">
      <c r="C20" s="30"/>
      <c r="D20" s="30" t="s">
        <v>387</v>
      </c>
      <c r="E20" s="30">
        <v>1.3</v>
      </c>
      <c r="F20" s="30"/>
      <c r="G20" s="30"/>
      <c r="H20" s="30"/>
      <c r="I20" s="44" t="s">
        <v>363</v>
      </c>
      <c r="J20" s="30"/>
      <c r="K20" s="205"/>
      <c r="L20" s="205"/>
      <c r="M20" s="205"/>
    </row>
    <row r="21" ht="12.75" customHeight="1">
      <c r="C21" s="30"/>
      <c r="D21" s="30" t="s">
        <v>388</v>
      </c>
      <c r="E21" s="30">
        <f>1/2*COUTMAX*VINMAX^2*0.000001</f>
        <v>4.7406784</v>
      </c>
      <c r="F21" s="30"/>
      <c r="G21" s="30"/>
      <c r="H21" s="30"/>
      <c r="I21" s="30"/>
      <c r="J21" s="212" t="s">
        <v>364</v>
      </c>
      <c r="K21" s="230" t="s">
        <v>365</v>
      </c>
      <c r="L21" s="230" t="s">
        <v>366</v>
      </c>
      <c r="M21" s="230" t="s">
        <v>367</v>
      </c>
    </row>
    <row r="22" ht="12.75" customHeight="1">
      <c r="C22" s="30"/>
      <c r="D22" s="30" t="s">
        <v>389</v>
      </c>
      <c r="E22" s="213">
        <f>MAX(Equations!F68-E21,0)</f>
        <v>1.101455855</v>
      </c>
      <c r="F22" s="30"/>
      <c r="G22" s="30"/>
      <c r="H22" s="30"/>
      <c r="I22" s="44" t="s">
        <v>368</v>
      </c>
      <c r="J22" s="44">
        <v>0.1</v>
      </c>
      <c r="K22" s="44">
        <v>1.0</v>
      </c>
      <c r="L22" s="205">
        <v>10.0</v>
      </c>
      <c r="M22" s="44">
        <v>100.0</v>
      </c>
    </row>
    <row r="23" ht="12.75" customHeight="1">
      <c r="C23" s="30"/>
      <c r="D23" s="30" t="s">
        <v>390</v>
      </c>
      <c r="E23" s="30">
        <f>Equations!F67</f>
        <v>103.5272727</v>
      </c>
      <c r="F23" s="30"/>
      <c r="G23" s="30"/>
      <c r="H23" s="30"/>
      <c r="I23" s="44" t="s">
        <v>369</v>
      </c>
      <c r="J23" s="44">
        <v>1.0</v>
      </c>
      <c r="K23" s="44">
        <v>10.0</v>
      </c>
      <c r="L23" s="205">
        <v>100.0</v>
      </c>
      <c r="M23" s="44">
        <v>1000.0</v>
      </c>
    </row>
    <row r="24" ht="12.75" customHeight="1">
      <c r="C24" s="30"/>
      <c r="D24" s="30"/>
      <c r="E24" s="30"/>
      <c r="F24" s="30"/>
      <c r="G24" s="30"/>
      <c r="H24" s="30"/>
      <c r="I24" s="44" t="s">
        <v>354</v>
      </c>
      <c r="J24" s="44">
        <f>SOA!C33</f>
        <v>15</v>
      </c>
      <c r="K24" s="44">
        <f>SOA!D33</f>
        <v>15</v>
      </c>
      <c r="L24" s="44">
        <f>SOA!E33</f>
        <v>7.538461538</v>
      </c>
      <c r="M24" s="44">
        <f>SOA!F33</f>
        <v>6.5</v>
      </c>
    </row>
    <row r="25" ht="12.75" customHeight="1">
      <c r="C25" s="30"/>
      <c r="D25" s="30" t="s">
        <v>101</v>
      </c>
      <c r="E25" s="30">
        <f>'Design Calculator'!F68</f>
        <v>48</v>
      </c>
      <c r="F25" s="30"/>
      <c r="G25" s="30"/>
      <c r="H25" s="30"/>
      <c r="I25" s="44" t="s">
        <v>355</v>
      </c>
      <c r="J25" s="205">
        <f>SOA!C34</f>
        <v>-0.7781512504</v>
      </c>
      <c r="K25" s="205">
        <f>SOA!D34</f>
        <v>-0.330993219</v>
      </c>
      <c r="L25" s="205">
        <f>SOA!E34</f>
        <v>-0.03218468337</v>
      </c>
      <c r="M25" s="205">
        <f>SOA!F34</f>
        <v>0</v>
      </c>
    </row>
    <row r="26" ht="12.75" customHeight="1">
      <c r="C26" s="30"/>
      <c r="D26" s="30" t="s">
        <v>102</v>
      </c>
      <c r="E26" s="30" t="str">
        <f>'Design Calculator'!F69</f>
        <v>Constant Current</v>
      </c>
      <c r="F26" s="30"/>
      <c r="G26" s="30"/>
      <c r="H26" s="30"/>
      <c r="I26" s="30"/>
      <c r="J26" s="30"/>
      <c r="K26" s="30"/>
      <c r="L26" s="30"/>
      <c r="M26" s="30"/>
    </row>
    <row r="27" ht="12.75" customHeight="1">
      <c r="C27" s="30"/>
      <c r="D27" s="30" t="s">
        <v>104</v>
      </c>
      <c r="E27" s="30">
        <f>'Design Calculator'!F70</f>
        <v>12</v>
      </c>
      <c r="F27" s="30"/>
      <c r="G27" s="30"/>
      <c r="H27" s="30"/>
      <c r="I27" s="30"/>
      <c r="J27" s="30"/>
      <c r="K27" s="30"/>
      <c r="L27" s="30"/>
      <c r="M27" s="30"/>
    </row>
    <row r="28" ht="12.75" customHeight="1">
      <c r="C28" s="30"/>
      <c r="F28" s="30"/>
      <c r="I28" s="30"/>
      <c r="J28" s="30"/>
      <c r="K28" s="226" t="s">
        <v>391</v>
      </c>
      <c r="L28" s="212" t="s">
        <v>331</v>
      </c>
      <c r="M28" s="30"/>
    </row>
    <row r="29" ht="12.75" customHeight="1">
      <c r="C29" s="30"/>
      <c r="D29" s="30" t="s">
        <v>392</v>
      </c>
      <c r="E29" s="30">
        <f>'Design Calculator'!F67/VINMAX/3</f>
        <v>1.794893886</v>
      </c>
      <c r="F29" s="30"/>
      <c r="I29" s="30" t="s">
        <v>393</v>
      </c>
      <c r="J29" s="30"/>
      <c r="K29" s="192">
        <f t="shared" ref="K29:K30" si="1">SUM(E60:X60)</f>
        <v>0.6456452827</v>
      </c>
      <c r="L29" s="192">
        <f>IF(K29=0, "NA", K29/AVERAGE(1, E33))</f>
        <v>0.6773088128</v>
      </c>
      <c r="M29" s="30"/>
    </row>
    <row r="30" ht="12.75" customHeight="1">
      <c r="C30" s="30"/>
      <c r="D30" s="30" t="s">
        <v>394</v>
      </c>
      <c r="E30" s="30">
        <f>dv_dt_recommendations!E29/(0.001*COUTMAX)</f>
        <v>0.6456452827</v>
      </c>
      <c r="F30" s="30"/>
      <c r="I30" s="30" t="s">
        <v>395</v>
      </c>
      <c r="J30" s="30"/>
      <c r="K30" s="192">
        <f t="shared" si="1"/>
        <v>0.1</v>
      </c>
      <c r="L30" s="192">
        <f>IF(K30=0, "NA", K30*AVERAGE(1,E33))</f>
        <v>0.09532509699</v>
      </c>
      <c r="M30" s="30"/>
    </row>
    <row r="31" ht="12.75" customHeight="1">
      <c r="C31" s="30"/>
      <c r="D31" s="30" t="s">
        <v>396</v>
      </c>
      <c r="E31" s="30">
        <v>0.1</v>
      </c>
      <c r="F31" s="30"/>
      <c r="G31" s="30"/>
      <c r="H31" s="30"/>
      <c r="I31" s="30"/>
      <c r="J31" s="30"/>
      <c r="K31" s="30"/>
      <c r="L31" s="30"/>
      <c r="M31" s="30"/>
    </row>
    <row r="32" ht="12.75" customHeight="1">
      <c r="C32" s="30"/>
      <c r="D32" s="30" t="s">
        <v>397</v>
      </c>
      <c r="E32" s="30">
        <v>20.0</v>
      </c>
      <c r="F32" s="30"/>
      <c r="G32" s="30"/>
      <c r="H32" s="30"/>
      <c r="I32" s="30"/>
      <c r="J32" s="30"/>
      <c r="K32" s="30"/>
      <c r="L32" s="30"/>
      <c r="M32" s="30"/>
    </row>
    <row r="33" ht="12.75" customHeight="1">
      <c r="C33" s="30"/>
      <c r="D33" s="30" t="s">
        <v>398</v>
      </c>
      <c r="E33" s="30">
        <f>(E31/E30)^(1/(E32-1))</f>
        <v>0.9065019398</v>
      </c>
      <c r="F33" s="30"/>
      <c r="G33" s="30"/>
      <c r="H33" s="30"/>
      <c r="I33" s="30"/>
      <c r="J33" s="30"/>
      <c r="K33" s="30"/>
      <c r="L33" s="30"/>
      <c r="M33" s="30"/>
    </row>
    <row r="34" ht="12.75" customHeight="1">
      <c r="C34" s="30"/>
      <c r="D34" s="30"/>
      <c r="E34" s="30"/>
      <c r="F34" s="30"/>
      <c r="G34" s="30"/>
      <c r="H34" s="30"/>
      <c r="I34" s="30"/>
      <c r="J34" s="30"/>
      <c r="K34" s="30"/>
      <c r="L34" s="30"/>
      <c r="M34" s="30"/>
    </row>
    <row r="35" ht="12.75" customHeight="1">
      <c r="D35" s="30" t="s">
        <v>399</v>
      </c>
      <c r="E35" s="30"/>
      <c r="F35" s="30"/>
      <c r="G35" s="30"/>
      <c r="H35" s="30"/>
      <c r="I35" s="30"/>
      <c r="J35" s="30"/>
      <c r="K35" s="30"/>
      <c r="L35" s="30"/>
      <c r="M35" s="30"/>
      <c r="N35" s="30"/>
      <c r="O35" s="30"/>
      <c r="P35" s="30"/>
      <c r="Q35" s="30"/>
      <c r="R35" s="30"/>
      <c r="S35" s="30"/>
      <c r="T35" s="30"/>
      <c r="U35" s="30"/>
      <c r="V35" s="30"/>
      <c r="W35" s="30"/>
      <c r="X35" s="30"/>
    </row>
    <row r="36" ht="12.75" customHeight="1">
      <c r="D36" s="30"/>
      <c r="E36" s="30">
        <v>1.0</v>
      </c>
      <c r="F36" s="30">
        <v>2.0</v>
      </c>
      <c r="G36" s="30">
        <v>3.0</v>
      </c>
      <c r="H36" s="30">
        <v>4.0</v>
      </c>
      <c r="I36" s="30">
        <v>5.0</v>
      </c>
      <c r="J36" s="30">
        <v>6.0</v>
      </c>
      <c r="K36" s="30">
        <v>7.0</v>
      </c>
      <c r="L36" s="30">
        <v>8.0</v>
      </c>
      <c r="M36" s="30">
        <v>9.0</v>
      </c>
      <c r="N36" s="30">
        <v>10.0</v>
      </c>
      <c r="O36" s="30">
        <v>11.0</v>
      </c>
      <c r="P36" s="30">
        <v>12.0</v>
      </c>
      <c r="Q36" s="30">
        <v>13.0</v>
      </c>
      <c r="R36" s="30">
        <v>14.0</v>
      </c>
      <c r="S36" s="30">
        <v>15.0</v>
      </c>
      <c r="T36" s="30">
        <v>16.0</v>
      </c>
      <c r="U36" s="30">
        <v>17.0</v>
      </c>
      <c r="V36" s="30">
        <v>18.0</v>
      </c>
      <c r="W36" s="30">
        <v>19.0</v>
      </c>
      <c r="X36" s="30">
        <v>20.0</v>
      </c>
    </row>
    <row r="37" ht="12.75" customHeight="1">
      <c r="D37" s="240" t="s">
        <v>400</v>
      </c>
      <c r="E37" s="240">
        <f>E30</f>
        <v>0.6456452827</v>
      </c>
      <c r="F37" s="240">
        <f t="shared" ref="F37:X37" si="2">E37*$E$33</f>
        <v>0.5852787012</v>
      </c>
      <c r="G37" s="240">
        <f t="shared" si="2"/>
        <v>0.530556278</v>
      </c>
      <c r="H37" s="240">
        <f t="shared" si="2"/>
        <v>0.4809502952</v>
      </c>
      <c r="I37" s="240">
        <f t="shared" si="2"/>
        <v>0.4359823755</v>
      </c>
      <c r="J37" s="240">
        <f t="shared" si="2"/>
        <v>0.3952188691</v>
      </c>
      <c r="K37" s="240">
        <f t="shared" si="2"/>
        <v>0.3582666715</v>
      </c>
      <c r="L37" s="240">
        <f t="shared" si="2"/>
        <v>0.3247694327</v>
      </c>
      <c r="M37" s="240">
        <f t="shared" si="2"/>
        <v>0.2944041207</v>
      </c>
      <c r="N37" s="240">
        <f t="shared" si="2"/>
        <v>0.2668779065</v>
      </c>
      <c r="O37" s="240">
        <f t="shared" si="2"/>
        <v>0.24192534</v>
      </c>
      <c r="P37" s="240">
        <f t="shared" si="2"/>
        <v>0.21930579</v>
      </c>
      <c r="Q37" s="240">
        <f t="shared" si="2"/>
        <v>0.198801124</v>
      </c>
      <c r="R37" s="240">
        <f t="shared" si="2"/>
        <v>0.1802136046</v>
      </c>
      <c r="S37" s="240">
        <f t="shared" si="2"/>
        <v>0.1633639821</v>
      </c>
      <c r="T37" s="240">
        <f t="shared" si="2"/>
        <v>0.1480897667</v>
      </c>
      <c r="U37" s="240">
        <f t="shared" si="2"/>
        <v>0.1342436608</v>
      </c>
      <c r="V37" s="240">
        <f t="shared" si="2"/>
        <v>0.1216921389</v>
      </c>
      <c r="W37" s="240">
        <f t="shared" si="2"/>
        <v>0.11031416</v>
      </c>
      <c r="X37" s="240">
        <f t="shared" si="2"/>
        <v>0.1</v>
      </c>
    </row>
    <row r="38" ht="12.75" customHeight="1">
      <c r="D38" s="30" t="s">
        <v>401</v>
      </c>
      <c r="E38" s="30">
        <f>VINMAX/E37</f>
        <v>90.45214387</v>
      </c>
      <c r="F38" s="30">
        <f>VINMAX/F37</f>
        <v>99.78152269</v>
      </c>
      <c r="G38" s="30">
        <f>VINMAX/G37</f>
        <v>110.0731486</v>
      </c>
      <c r="H38" s="30">
        <f>VINMAX/H37</f>
        <v>121.4262692</v>
      </c>
      <c r="I38" s="30">
        <f>VINMAX/I37</f>
        <v>133.9503688</v>
      </c>
      <c r="J38" s="30">
        <f>VINMAX/J37</f>
        <v>147.7662241</v>
      </c>
      <c r="K38" s="30">
        <f>VINMAX/K37</f>
        <v>163.0070689</v>
      </c>
      <c r="L38" s="30">
        <f>VINMAX/L37</f>
        <v>179.8198787</v>
      </c>
      <c r="M38" s="30">
        <f>VINMAX/M37</f>
        <v>198.3667887</v>
      </c>
      <c r="N38" s="30">
        <f>VINMAX/N37</f>
        <v>218.8266566</v>
      </c>
      <c r="O38" s="30">
        <f>VINMAX/O37</f>
        <v>241.396788</v>
      </c>
      <c r="P38" s="30">
        <f>VINMAX/P37</f>
        <v>266.2948389</v>
      </c>
      <c r="Q38" s="30">
        <f>VINMAX/Q37</f>
        <v>293.7609145</v>
      </c>
      <c r="R38" s="30">
        <f>VINMAX/R37</f>
        <v>324.0598852</v>
      </c>
      <c r="S38" s="30">
        <f>VINMAX/S37</f>
        <v>357.4839401</v>
      </c>
      <c r="T38" s="30">
        <f>VINMAX/T37</f>
        <v>394.3554056</v>
      </c>
      <c r="U38" s="30">
        <f>VINMAX/U37</f>
        <v>435.0298529</v>
      </c>
      <c r="V38" s="30">
        <f>VINMAX/V37</f>
        <v>479.8995279</v>
      </c>
      <c r="W38" s="30">
        <f>VINMAX/W37</f>
        <v>529.3971329</v>
      </c>
      <c r="X38" s="30">
        <f>VINMAX/X37</f>
        <v>584</v>
      </c>
    </row>
    <row r="39" ht="12.75" customHeight="1">
      <c r="D39" s="30" t="s">
        <v>402</v>
      </c>
      <c r="E39" s="30">
        <f>E37*COUTMAX/1000</f>
        <v>1.794893886</v>
      </c>
      <c r="F39" s="30">
        <f>F37*COUTMAX/1000</f>
        <v>1.627074789</v>
      </c>
      <c r="G39" s="30">
        <f>G37*COUTMAX/1000</f>
        <v>1.474946453</v>
      </c>
      <c r="H39" s="30">
        <f>H37*COUTMAX/1000</f>
        <v>1.337041821</v>
      </c>
      <c r="I39" s="30">
        <f>I37*COUTMAX/1000</f>
        <v>1.212031004</v>
      </c>
      <c r="J39" s="30">
        <f>J37*COUTMAX/1000</f>
        <v>1.098708456</v>
      </c>
      <c r="K39" s="30">
        <f>K37*COUTMAX/1000</f>
        <v>0.9959813468</v>
      </c>
      <c r="L39" s="30">
        <f>L37*COUTMAX/1000</f>
        <v>0.9028590229</v>
      </c>
      <c r="M39" s="30">
        <f>M37*COUTMAX/1000</f>
        <v>0.8184434556</v>
      </c>
      <c r="N39" s="30">
        <f>N37*COUTMAX/1000</f>
        <v>0.7419205802</v>
      </c>
      <c r="O39" s="30">
        <f>O37*COUTMAX/1000</f>
        <v>0.6725524451</v>
      </c>
      <c r="P39" s="30">
        <f>P37*COUTMAX/1000</f>
        <v>0.6096700961</v>
      </c>
      <c r="Q39" s="30">
        <f>Q37*COUTMAX/1000</f>
        <v>0.5526671248</v>
      </c>
      <c r="R39" s="30">
        <f>R37*COUTMAX/1000</f>
        <v>0.5009938207</v>
      </c>
      <c r="S39" s="30">
        <f>S37*COUTMAX/1000</f>
        <v>0.4541518703</v>
      </c>
      <c r="T39" s="30">
        <f>T37*COUTMAX/1000</f>
        <v>0.4116895514</v>
      </c>
      <c r="U39" s="30">
        <f>U37*COUTMAX/1000</f>
        <v>0.3731973769</v>
      </c>
      <c r="V39" s="30">
        <f>V37*COUTMAX/1000</f>
        <v>0.3383041461</v>
      </c>
      <c r="W39" s="30">
        <f>W37*COUTMAX/1000</f>
        <v>0.3066733647</v>
      </c>
      <c r="X39" s="30">
        <f>X37*COUTMAX/1000</f>
        <v>0.278</v>
      </c>
    </row>
    <row r="40" ht="12.75" customHeight="1">
      <c r="D40" s="30" t="s">
        <v>403</v>
      </c>
      <c r="E40" s="213">
        <f t="shared" ref="E40:X40" si="3">$E$21+$E$22*E38/$E$23</f>
        <v>5.703024271</v>
      </c>
      <c r="F40" s="213">
        <f t="shared" si="3"/>
        <v>5.802282163</v>
      </c>
      <c r="G40" s="213">
        <f t="shared" si="3"/>
        <v>5.911777674</v>
      </c>
      <c r="H40" s="213">
        <f t="shared" si="3"/>
        <v>6.032566726</v>
      </c>
      <c r="I40" s="213">
        <f t="shared" si="3"/>
        <v>6.165814155</v>
      </c>
      <c r="J40" s="213">
        <f t="shared" si="3"/>
        <v>6.312804936</v>
      </c>
      <c r="K40" s="213">
        <f t="shared" si="3"/>
        <v>6.474956582</v>
      </c>
      <c r="L40" s="213">
        <f t="shared" si="3"/>
        <v>6.653832808</v>
      </c>
      <c r="M40" s="213">
        <f t="shared" si="3"/>
        <v>6.851158614</v>
      </c>
      <c r="N40" s="213">
        <f t="shared" si="3"/>
        <v>7.06883692</v>
      </c>
      <c r="O40" s="213">
        <f t="shared" si="3"/>
        <v>7.308966914</v>
      </c>
      <c r="P40" s="213">
        <f t="shared" si="3"/>
        <v>7.573864299</v>
      </c>
      <c r="Q40" s="213">
        <f t="shared" si="3"/>
        <v>7.866083625</v>
      </c>
      <c r="R40" s="213">
        <f t="shared" si="3"/>
        <v>8.18844292</v>
      </c>
      <c r="S40" s="213">
        <f t="shared" si="3"/>
        <v>8.544050868</v>
      </c>
      <c r="T40" s="213">
        <f t="shared" si="3"/>
        <v>8.936336788</v>
      </c>
      <c r="U40" s="213">
        <f t="shared" si="3"/>
        <v>9.369083706</v>
      </c>
      <c r="V40" s="213">
        <f t="shared" si="3"/>
        <v>9.846464833</v>
      </c>
      <c r="W40" s="213">
        <f t="shared" si="3"/>
        <v>10.37308381</v>
      </c>
      <c r="X40" s="213">
        <f t="shared" si="3"/>
        <v>10.95401912</v>
      </c>
    </row>
    <row r="41" ht="12.75" customHeight="1">
      <c r="D41" s="30" t="s">
        <v>404</v>
      </c>
      <c r="E41" s="30">
        <f>(E39+IF($E$26="Resistive",0,IF($E$25=0,$E$27,0)))*VINMAX</f>
        <v>104.8218029</v>
      </c>
      <c r="F41" s="30">
        <f>(F39+IF($E$26="Resistive",0,IF($E$25=0,$E$27,0)))*VINMAX</f>
        <v>95.0211677</v>
      </c>
      <c r="G41" s="30">
        <f>(G39+IF($E$26="Resistive",0,IF($E$25=0,$E$27,0)))*VINMAX</f>
        <v>86.13687284</v>
      </c>
      <c r="H41" s="30">
        <f>(H39+IF($E$26="Resistive",0,IF($E$25=0,$E$27,0)))*VINMAX</f>
        <v>78.08324232</v>
      </c>
      <c r="I41" s="30">
        <f>(I39+IF($E$26="Resistive",0,IF($E$25=0,$E$27,0)))*VINMAX</f>
        <v>70.78261063</v>
      </c>
      <c r="J41" s="30">
        <f>(J39+IF($E$26="Resistive",0,IF($E$25=0,$E$27,0)))*VINMAX</f>
        <v>64.16457384</v>
      </c>
      <c r="K41" s="30">
        <f>(K39+IF($E$26="Resistive",0,IF($E$25=0,$E$27,0)))*VINMAX</f>
        <v>58.16531065</v>
      </c>
      <c r="L41" s="30">
        <f>(L39+IF($E$26="Resistive",0,IF($E$25=0,$E$27,0)))*VINMAX</f>
        <v>52.72696694</v>
      </c>
      <c r="M41" s="30">
        <f>(M39+IF($E$26="Resistive",0,IF($E$25=0,$E$27,0)))*VINMAX</f>
        <v>47.79709781</v>
      </c>
      <c r="N41" s="30">
        <f>(N39+IF($E$26="Resistive",0,IF($E$25=0,$E$27,0)))*VINMAX</f>
        <v>43.32816188</v>
      </c>
      <c r="O41" s="30">
        <f>(O39+IF($E$26="Resistive",0,IF($E$25=0,$E$27,0)))*VINMAX</f>
        <v>39.27706279</v>
      </c>
      <c r="P41" s="30">
        <f>(P39+IF($E$26="Resistive",0,IF($E$25=0,$E$27,0)))*VINMAX</f>
        <v>35.60473361</v>
      </c>
      <c r="Q41" s="30">
        <f>(Q39+IF($E$26="Resistive",0,IF($E$25=0,$E$27,0)))*VINMAX</f>
        <v>32.27576009</v>
      </c>
      <c r="R41" s="30">
        <f>(R39+IF($E$26="Resistive",0,IF($E$25=0,$E$27,0)))*VINMAX</f>
        <v>29.25803913</v>
      </c>
      <c r="S41" s="30">
        <f>(S39+IF($E$26="Resistive",0,IF($E$25=0,$E$27,0)))*VINMAX</f>
        <v>26.52246922</v>
      </c>
      <c r="T41" s="30">
        <f>(T39+IF($E$26="Resistive",0,IF($E$25=0,$E$27,0)))*VINMAX</f>
        <v>24.0426698</v>
      </c>
      <c r="U41" s="30">
        <f>(U39+IF($E$26="Resistive",0,IF($E$25=0,$E$27,0)))*VINMAX</f>
        <v>21.79472681</v>
      </c>
      <c r="V41" s="30">
        <f>(V39+IF($E$26="Resistive",0,IF($E$25=0,$E$27,0)))*VINMAX</f>
        <v>19.75696213</v>
      </c>
      <c r="W41" s="30">
        <f>(W39+IF($E$26="Resistive",0,IF($E$25=0,$E$27,0)))*VINMAX</f>
        <v>17.9097245</v>
      </c>
      <c r="X41" s="30">
        <f>(X39+IF($E$26="Resistive",0,IF($E$25=0,$E$27,0)))*VINMAX</f>
        <v>16.2352</v>
      </c>
    </row>
    <row r="42" ht="12.75" customHeight="1">
      <c r="D42" s="30" t="s">
        <v>405</v>
      </c>
      <c r="E42" s="30">
        <f>(E39+IF($E$26="Resistive", $E$25/$E$27,$E$27)) *(VINMAX-$E$25)</f>
        <v>143.4668964</v>
      </c>
      <c r="F42" s="30">
        <f>(F39+IF($E$26="Resistive", $E$25/$E$27,$E$27)) *(VINMAX-$E$25)</f>
        <v>141.7215778</v>
      </c>
      <c r="G42" s="30">
        <f>(G39+IF($E$26="Resistive", $E$25/$E$27,$E$27)) *(VINMAX-$E$25)</f>
        <v>140.1394431</v>
      </c>
      <c r="H42" s="30">
        <f>(H39+IF($E$26="Resistive", $E$25/$E$27,$E$27)) *(VINMAX-$E$25)</f>
        <v>138.7052349</v>
      </c>
      <c r="I42" s="30">
        <f>(I39+IF($E$26="Resistive", $E$25/$E$27,$E$27)) *(VINMAX-$E$25)</f>
        <v>137.4051224</v>
      </c>
      <c r="J42" s="30">
        <f>(J39+IF($E$26="Resistive", $E$25/$E$27,$E$27)) *(VINMAX-$E$25)</f>
        <v>136.2265679</v>
      </c>
      <c r="K42" s="30">
        <f>(K39+IF($E$26="Resistive", $E$25/$E$27,$E$27)) *(VINMAX-$E$25)</f>
        <v>135.158206</v>
      </c>
      <c r="L42" s="30">
        <f>(L39+IF($E$26="Resistive", $E$25/$E$27,$E$27)) *(VINMAX-$E$25)</f>
        <v>134.1897338</v>
      </c>
      <c r="M42" s="30">
        <f>(M39+IF($E$26="Resistive", $E$25/$E$27,$E$27)) *(VINMAX-$E$25)</f>
        <v>133.3118119</v>
      </c>
      <c r="N42" s="30">
        <f>(N39+IF($E$26="Resistive", $E$25/$E$27,$E$27)) *(VINMAX-$E$25)</f>
        <v>132.515974</v>
      </c>
      <c r="O42" s="30">
        <f>(O39+IF($E$26="Resistive", $E$25/$E$27,$E$27)) *(VINMAX-$E$25)</f>
        <v>131.7945454</v>
      </c>
      <c r="P42" s="30">
        <f>(P39+IF($E$26="Resistive", $E$25/$E$27,$E$27)) *(VINMAX-$E$25)</f>
        <v>131.140569</v>
      </c>
      <c r="Q42" s="30">
        <f>(Q39+IF($E$26="Resistive", $E$25/$E$27,$E$27)) *(VINMAX-$E$25)</f>
        <v>130.5477381</v>
      </c>
      <c r="R42" s="30">
        <f>(R39+IF($E$26="Resistive", $E$25/$E$27,$E$27)) *(VINMAX-$E$25)</f>
        <v>130.0103357</v>
      </c>
      <c r="S42" s="30">
        <f>(S39+IF($E$26="Resistive", $E$25/$E$27,$E$27)) *(VINMAX-$E$25)</f>
        <v>129.5231795</v>
      </c>
      <c r="T42" s="30">
        <f>(T39+IF($E$26="Resistive", $E$25/$E$27,$E$27)) *(VINMAX-$E$25)</f>
        <v>129.0815713</v>
      </c>
      <c r="U42" s="30">
        <f>(U39+IF($E$26="Resistive", $E$25/$E$27,$E$27)) *(VINMAX-$E$25)</f>
        <v>128.6812527</v>
      </c>
      <c r="V42" s="30">
        <f>(V39+IF($E$26="Resistive", $E$25/$E$27,$E$27)) *(VINMAX-$E$25)</f>
        <v>128.3183631</v>
      </c>
      <c r="W42" s="30">
        <f>(W39+IF($E$26="Resistive", $E$25/$E$27,$E$27)) *(VINMAX-$E$25)</f>
        <v>127.989403</v>
      </c>
      <c r="X42" s="30">
        <f>(X39+IF($E$26="Resistive", $E$25/$E$27,$E$27)) *(VINMAX-$E$25)</f>
        <v>127.6912</v>
      </c>
    </row>
    <row r="43" ht="12.75" customHeight="1">
      <c r="D43" s="30" t="s">
        <v>406</v>
      </c>
      <c r="E43" s="30">
        <f>IF($E$26="Resistive", -$E$27*E39/2 + VINMAX/2, -1)</f>
        <v>-1</v>
      </c>
      <c r="F43" s="30">
        <f>IF($E$26="Resistive", -$E$27*F39/2 + VINMAX/2, -1)</f>
        <v>-1</v>
      </c>
      <c r="G43" s="30">
        <f>IF($E$26="Resistive", -$E$27*G39/2 + VINMAX/2, -1)</f>
        <v>-1</v>
      </c>
      <c r="H43" s="30">
        <f>IF($E$26="Resistive", -$E$27*H39/2 + VINMAX/2, -1)</f>
        <v>-1</v>
      </c>
      <c r="I43" s="30">
        <f>IF($E$26="Resistive", -$E$27*I39/2 + VINMAX/2, -1)</f>
        <v>-1</v>
      </c>
      <c r="J43" s="30">
        <f>IF($E$26="Resistive", -$E$27*J39/2 + VINMAX/2, -1)</f>
        <v>-1</v>
      </c>
      <c r="K43" s="30">
        <f>IF($E$26="Resistive", -$E$27*K39/2 + VINMAX/2, -1)</f>
        <v>-1</v>
      </c>
      <c r="L43" s="30">
        <f>IF($E$26="Resistive", -$E$27*L39/2 + VINMAX/2, -1)</f>
        <v>-1</v>
      </c>
      <c r="M43" s="30">
        <f>IF($E$26="Resistive", -$E$27*M39/2 + VINMAX/2, -1)</f>
        <v>-1</v>
      </c>
      <c r="N43" s="30">
        <f>IF($E$26="Resistive", -$E$27*N39/2 + VINMAX/2, -1)</f>
        <v>-1</v>
      </c>
      <c r="O43" s="30">
        <f>IF($E$26="Resistive", -$E$27*O39/2 + VINMAX/2, -1)</f>
        <v>-1</v>
      </c>
      <c r="P43" s="30">
        <f>IF($E$26="Resistive", -$E$27*P39/2 + VINMAX/2, -1)</f>
        <v>-1</v>
      </c>
      <c r="Q43" s="30">
        <f>IF($E$26="Resistive", -$E$27*Q39/2 + VINMAX/2, -1)</f>
        <v>-1</v>
      </c>
      <c r="R43" s="30">
        <f>IF($E$26="Resistive", -$E$27*R39/2 + VINMAX/2, -1)</f>
        <v>-1</v>
      </c>
      <c r="S43" s="30">
        <f>IF($E$26="Resistive", -$E$27*S39/2 + VINMAX/2, -1)</f>
        <v>-1</v>
      </c>
      <c r="T43" s="30">
        <f>IF($E$26="Resistive", -$E$27*T39/2 + VINMAX/2, -1)</f>
        <v>-1</v>
      </c>
      <c r="U43" s="30">
        <f>IF($E$26="Resistive", -$E$27*U39/2 + VINMAX/2, -1)</f>
        <v>-1</v>
      </c>
      <c r="V43" s="30">
        <f>IF($E$26="Resistive", -$E$27*V39/2 + VINMAX/2, -1)</f>
        <v>-1</v>
      </c>
      <c r="W43" s="30">
        <f>IF($E$26="Resistive", -$E$27*W39/2 + VINMAX/2, -1)</f>
        <v>-1</v>
      </c>
      <c r="X43" s="30">
        <f>IF($E$26="Resistive", -$E$27*X39/2 + VINMAX/2, -1)</f>
        <v>-1</v>
      </c>
    </row>
    <row r="44" ht="12.75" customHeight="1">
      <c r="D44" s="30" t="s">
        <v>407</v>
      </c>
      <c r="E44" s="30">
        <f>IF(AND(E43&lt;VINMAX, E43&gt;$E$25), (VINMAX-E43)*(E39+E43/$E$27), 0)</f>
        <v>0</v>
      </c>
      <c r="F44" s="30">
        <f>IF(AND(F43&lt;VINMAX, F43&gt;$E$25), (VINMAX-F43)*(F39+F43/$E$27), 0)</f>
        <v>0</v>
      </c>
      <c r="G44" s="30">
        <f>IF(AND(G43&lt;VINMAX, G43&gt;$E$25), (VINMAX-G43)*(G39+G43/$E$27), 0)</f>
        <v>0</v>
      </c>
      <c r="H44" s="30">
        <f>IF(AND(H43&lt;VINMAX, H43&gt;$E$25), (VINMAX-H43)*(H39+H43/$E$27), 0)</f>
        <v>0</v>
      </c>
      <c r="I44" s="30">
        <f>IF(AND(I43&lt;VINMAX, I43&gt;$E$25), (VINMAX-I43)*(I39+I43/$E$27), 0)</f>
        <v>0</v>
      </c>
      <c r="J44" s="30">
        <f>IF(AND(J43&lt;VINMAX, J43&gt;$E$25), (VINMAX-J43)*(J39+J43/$E$27), 0)</f>
        <v>0</v>
      </c>
      <c r="K44" s="30">
        <f>IF(AND(K43&lt;VINMAX, K43&gt;$E$25), (VINMAX-K43)*(K39+K43/$E$27), 0)</f>
        <v>0</v>
      </c>
      <c r="L44" s="30">
        <f>IF(AND(L43&lt;VINMAX, L43&gt;$E$25), (VINMAX-L43)*(L39+L43/$E$27), 0)</f>
        <v>0</v>
      </c>
      <c r="M44" s="30">
        <f>IF(AND(M43&lt;VINMAX, M43&gt;$E$25), (VINMAX-M43)*(M39+M43/$E$27), 0)</f>
        <v>0</v>
      </c>
      <c r="N44" s="30">
        <f>IF(AND(N43&lt;VINMAX, N43&gt;$E$25), (VINMAX-N43)*(N39+N43/$E$27), 0)</f>
        <v>0</v>
      </c>
      <c r="O44" s="30">
        <f>IF(AND(O43&lt;VINMAX, O43&gt;$E$25), (VINMAX-O43)*(O39+O43/$E$27), 0)</f>
        <v>0</v>
      </c>
      <c r="P44" s="30">
        <f>IF(AND(P43&lt;VINMAX, P43&gt;$E$25), (VINMAX-P43)*(P39+P43/$E$27), 0)</f>
        <v>0</v>
      </c>
      <c r="Q44" s="30">
        <f>IF(AND(Q43&lt;VINMAX, Q43&gt;$E$25), (VINMAX-Q43)*(Q39+Q43/$E$27), 0)</f>
        <v>0</v>
      </c>
      <c r="R44" s="30">
        <f>IF(AND(R43&lt;VINMAX, R43&gt;$E$25), (VINMAX-R43)*(R39+R43/$E$27), 0)</f>
        <v>0</v>
      </c>
      <c r="S44" s="30">
        <f>IF(AND(S43&lt;VINMAX, S43&gt;$E$25), (VINMAX-S43)*(S39+S43/$E$27), 0)</f>
        <v>0</v>
      </c>
      <c r="T44" s="30">
        <f>IF(AND(T43&lt;VINMAX, T43&gt;$E$25), (VINMAX-T43)*(T39+T43/$E$27), 0)</f>
        <v>0</v>
      </c>
      <c r="U44" s="30">
        <f>IF(AND(U43&lt;VINMAX, U43&gt;$E$25), (VINMAX-U43)*(U39+U43/$E$27), 0)</f>
        <v>0</v>
      </c>
      <c r="V44" s="30">
        <f>IF(AND(V43&lt;VINMAX, V43&gt;$E$25), (VINMAX-V43)*(V39+V43/$E$27), 0)</f>
        <v>0</v>
      </c>
      <c r="W44" s="30">
        <f>IF(AND(W43&lt;VINMAX, W43&gt;$E$25), (VINMAX-W43)*(W39+W43/$E$27), 0)</f>
        <v>0</v>
      </c>
      <c r="X44" s="30">
        <f>IF(AND(X43&lt;VINMAX, X43&gt;$E$25), (VINMAX-X43)*(X39+X43/$E$27), 0)</f>
        <v>0</v>
      </c>
    </row>
    <row r="45" ht="12.75" customHeight="1"/>
    <row r="46" ht="12.75" customHeight="1">
      <c r="D46" s="30" t="s">
        <v>408</v>
      </c>
      <c r="E46" s="30">
        <f t="shared" ref="E46:X46" si="4">MAX(E41,E42,E44)</f>
        <v>143.4668964</v>
      </c>
      <c r="F46" s="30">
        <f t="shared" si="4"/>
        <v>141.7215778</v>
      </c>
      <c r="G46" s="30">
        <f t="shared" si="4"/>
        <v>140.1394431</v>
      </c>
      <c r="H46" s="30">
        <f t="shared" si="4"/>
        <v>138.7052349</v>
      </c>
      <c r="I46" s="30">
        <f t="shared" si="4"/>
        <v>137.4051224</v>
      </c>
      <c r="J46" s="30">
        <f t="shared" si="4"/>
        <v>136.2265679</v>
      </c>
      <c r="K46" s="30">
        <f t="shared" si="4"/>
        <v>135.158206</v>
      </c>
      <c r="L46" s="30">
        <f t="shared" si="4"/>
        <v>134.1897338</v>
      </c>
      <c r="M46" s="30">
        <f t="shared" si="4"/>
        <v>133.3118119</v>
      </c>
      <c r="N46" s="30">
        <f t="shared" si="4"/>
        <v>132.515974</v>
      </c>
      <c r="O46" s="30">
        <f t="shared" si="4"/>
        <v>131.7945454</v>
      </c>
      <c r="P46" s="30">
        <f t="shared" si="4"/>
        <v>131.140569</v>
      </c>
      <c r="Q46" s="30">
        <f t="shared" si="4"/>
        <v>130.5477381</v>
      </c>
      <c r="R46" s="30">
        <f t="shared" si="4"/>
        <v>130.0103357</v>
      </c>
      <c r="S46" s="30">
        <f t="shared" si="4"/>
        <v>129.5231795</v>
      </c>
      <c r="T46" s="30">
        <f t="shared" si="4"/>
        <v>129.0815713</v>
      </c>
      <c r="U46" s="30">
        <f t="shared" si="4"/>
        <v>128.6812527</v>
      </c>
      <c r="V46" s="30">
        <f t="shared" si="4"/>
        <v>128.3183631</v>
      </c>
      <c r="W46" s="30">
        <f t="shared" si="4"/>
        <v>127.989403</v>
      </c>
      <c r="X46" s="30">
        <f t="shared" si="4"/>
        <v>127.6912</v>
      </c>
    </row>
    <row r="47" ht="12.75" customHeight="1">
      <c r="D47" s="30" t="s">
        <v>409</v>
      </c>
      <c r="E47" s="213">
        <f t="shared" ref="E47:X47" si="5">E40/E46*1000</f>
        <v>39.75149957</v>
      </c>
      <c r="F47" s="213">
        <f t="shared" si="5"/>
        <v>40.94141664</v>
      </c>
      <c r="G47" s="213">
        <f t="shared" si="5"/>
        <v>42.18496622</v>
      </c>
      <c r="H47" s="213">
        <f t="shared" si="5"/>
        <v>43.49199026</v>
      </c>
      <c r="I47" s="213">
        <f t="shared" si="5"/>
        <v>44.87324814</v>
      </c>
      <c r="J47" s="213">
        <f t="shared" si="5"/>
        <v>46.34048286</v>
      </c>
      <c r="K47" s="213">
        <f t="shared" si="5"/>
        <v>47.9064999</v>
      </c>
      <c r="L47" s="213">
        <f t="shared" si="5"/>
        <v>49.58525975</v>
      </c>
      <c r="M47" s="213">
        <f t="shared" si="5"/>
        <v>51.39198481</v>
      </c>
      <c r="N47" s="213">
        <f t="shared" si="5"/>
        <v>53.3432816</v>
      </c>
      <c r="O47" s="213">
        <f t="shared" si="5"/>
        <v>55.45727928</v>
      </c>
      <c r="P47" s="213">
        <f t="shared" si="5"/>
        <v>57.75378555</v>
      </c>
      <c r="Q47" s="213">
        <f t="shared" si="5"/>
        <v>60.25446124</v>
      </c>
      <c r="R47" s="213">
        <f t="shared" si="5"/>
        <v>62.98301495</v>
      </c>
      <c r="S47" s="213">
        <f t="shared" si="5"/>
        <v>65.9654195</v>
      </c>
      <c r="T47" s="213">
        <f t="shared" si="5"/>
        <v>69.23015188</v>
      </c>
      <c r="U47" s="213">
        <f t="shared" si="5"/>
        <v>72.80845895</v>
      </c>
      <c r="V47" s="213">
        <f t="shared" si="5"/>
        <v>76.73465117</v>
      </c>
      <c r="W47" s="213">
        <f t="shared" si="5"/>
        <v>81.04642706</v>
      </c>
      <c r="X47" s="213">
        <f t="shared" si="5"/>
        <v>85.78523123</v>
      </c>
    </row>
    <row r="48" ht="12.75" customHeight="1"/>
    <row r="49" ht="12.75" customHeight="1">
      <c r="D49" s="30" t="s">
        <v>354</v>
      </c>
      <c r="E49" s="30">
        <f t="shared" ref="E49:X49" si="6">IF(E47&lt;$J$23,$J$24,IF(E47&lt;$K$23,$K$24,IF(E47&lt;$L$23,$L$24,$M$24)))</f>
        <v>7.538461538</v>
      </c>
      <c r="F49" s="30">
        <f t="shared" si="6"/>
        <v>7.538461538</v>
      </c>
      <c r="G49" s="30">
        <f t="shared" si="6"/>
        <v>7.538461538</v>
      </c>
      <c r="H49" s="30">
        <f t="shared" si="6"/>
        <v>7.538461538</v>
      </c>
      <c r="I49" s="30">
        <f t="shared" si="6"/>
        <v>7.538461538</v>
      </c>
      <c r="J49" s="30">
        <f t="shared" si="6"/>
        <v>7.538461538</v>
      </c>
      <c r="K49" s="30">
        <f t="shared" si="6"/>
        <v>7.538461538</v>
      </c>
      <c r="L49" s="30">
        <f t="shared" si="6"/>
        <v>7.538461538</v>
      </c>
      <c r="M49" s="30">
        <f t="shared" si="6"/>
        <v>7.538461538</v>
      </c>
      <c r="N49" s="30">
        <f t="shared" si="6"/>
        <v>7.538461538</v>
      </c>
      <c r="O49" s="30">
        <f t="shared" si="6"/>
        <v>7.538461538</v>
      </c>
      <c r="P49" s="30">
        <f t="shared" si="6"/>
        <v>7.538461538</v>
      </c>
      <c r="Q49" s="30">
        <f t="shared" si="6"/>
        <v>7.538461538</v>
      </c>
      <c r="R49" s="30">
        <f t="shared" si="6"/>
        <v>7.538461538</v>
      </c>
      <c r="S49" s="30">
        <f t="shared" si="6"/>
        <v>7.538461538</v>
      </c>
      <c r="T49" s="30">
        <f t="shared" si="6"/>
        <v>7.538461538</v>
      </c>
      <c r="U49" s="30">
        <f t="shared" si="6"/>
        <v>7.538461538</v>
      </c>
      <c r="V49" s="30">
        <f t="shared" si="6"/>
        <v>7.538461538</v>
      </c>
      <c r="W49" s="30">
        <f t="shared" si="6"/>
        <v>7.538461538</v>
      </c>
      <c r="X49" s="30">
        <f t="shared" si="6"/>
        <v>7.538461538</v>
      </c>
    </row>
    <row r="50" ht="12.75" customHeight="1">
      <c r="D50" s="30" t="s">
        <v>355</v>
      </c>
      <c r="E50" s="192">
        <f t="shared" ref="E50:X50" si="7">IF(E47&lt;$J$23,$J$25,IF(E47&lt;$K$23,$K$25,IF(E47&lt;$L$23,$L$25,$M$25)))</f>
        <v>-0.03218468337</v>
      </c>
      <c r="F50" s="192">
        <f t="shared" si="7"/>
        <v>-0.03218468337</v>
      </c>
      <c r="G50" s="192">
        <f t="shared" si="7"/>
        <v>-0.03218468337</v>
      </c>
      <c r="H50" s="192">
        <f t="shared" si="7"/>
        <v>-0.03218468337</v>
      </c>
      <c r="I50" s="192">
        <f t="shared" si="7"/>
        <v>-0.03218468337</v>
      </c>
      <c r="J50" s="192">
        <f t="shared" si="7"/>
        <v>-0.03218468337</v>
      </c>
      <c r="K50" s="192">
        <f t="shared" si="7"/>
        <v>-0.03218468337</v>
      </c>
      <c r="L50" s="192">
        <f t="shared" si="7"/>
        <v>-0.03218468337</v>
      </c>
      <c r="M50" s="192">
        <f t="shared" si="7"/>
        <v>-0.03218468337</v>
      </c>
      <c r="N50" s="192">
        <f t="shared" si="7"/>
        <v>-0.03218468337</v>
      </c>
      <c r="O50" s="192">
        <f t="shared" si="7"/>
        <v>-0.03218468337</v>
      </c>
      <c r="P50" s="192">
        <f t="shared" si="7"/>
        <v>-0.03218468337</v>
      </c>
      <c r="Q50" s="192">
        <f t="shared" si="7"/>
        <v>-0.03218468337</v>
      </c>
      <c r="R50" s="192">
        <f t="shared" si="7"/>
        <v>-0.03218468337</v>
      </c>
      <c r="S50" s="192">
        <f t="shared" si="7"/>
        <v>-0.03218468337</v>
      </c>
      <c r="T50" s="192">
        <f t="shared" si="7"/>
        <v>-0.03218468337</v>
      </c>
      <c r="U50" s="192">
        <f t="shared" si="7"/>
        <v>-0.03218468337</v>
      </c>
      <c r="V50" s="192">
        <f t="shared" si="7"/>
        <v>-0.03218468337</v>
      </c>
      <c r="W50" s="192">
        <f t="shared" si="7"/>
        <v>-0.03218468337</v>
      </c>
      <c r="X50" s="192">
        <f t="shared" si="7"/>
        <v>-0.03218468337</v>
      </c>
    </row>
    <row r="51" ht="12.75" customHeight="1"/>
    <row r="52" ht="12.75" customHeight="1">
      <c r="D52" s="30" t="s">
        <v>410</v>
      </c>
      <c r="E52" s="30">
        <f>E49*E47^E50*VINMAX</f>
        <v>391.0397297</v>
      </c>
      <c r="F52" s="30">
        <f>F49*F47^F50*VINMAX</f>
        <v>390.6687016</v>
      </c>
      <c r="G52" s="30">
        <f>G49*G47^G50*VINMAX</f>
        <v>390.2926604</v>
      </c>
      <c r="H52" s="30">
        <f>H49*H47^H50*VINMAX</f>
        <v>389.9095626</v>
      </c>
      <c r="I52" s="30">
        <f>I49*I47^I50*VINMAX</f>
        <v>389.5174116</v>
      </c>
      <c r="J52" s="30">
        <f>J49*J47^J50*VINMAX</f>
        <v>389.1142696</v>
      </c>
      <c r="K52" s="30">
        <f>K49*K47^K50*VINMAX</f>
        <v>388.6982698</v>
      </c>
      <c r="L52" s="30">
        <f>L49*L47^L50*VINMAX</f>
        <v>388.2676294</v>
      </c>
      <c r="M52" s="30">
        <f>M49*M47^M50*VINMAX</f>
        <v>387.8206626</v>
      </c>
      <c r="N52" s="30">
        <f>N49*N47^N50*VINMAX</f>
        <v>387.3557938</v>
      </c>
      <c r="O52" s="30">
        <f>O49*O47^O50*VINMAX</f>
        <v>386.8715705</v>
      </c>
      <c r="P52" s="30">
        <f>P49*P47^P50*VINMAX</f>
        <v>386.3666757</v>
      </c>
      <c r="Q52" s="30">
        <f>Q49*Q47^Q50*VINMAX</f>
        <v>385.8399401</v>
      </c>
      <c r="R52" s="30">
        <f>R49*R47^R50*VINMAX</f>
        <v>385.2903516</v>
      </c>
      <c r="S52" s="30">
        <f>S49*S47^S50*VINMAX</f>
        <v>384.7170647</v>
      </c>
      <c r="T52" s="30">
        <f>T49*T47^T50*VINMAX</f>
        <v>384.1194068</v>
      </c>
      <c r="U52" s="30">
        <f>U49*U47^U50*VINMAX</f>
        <v>383.4968823</v>
      </c>
      <c r="V52" s="30">
        <f>V49*V47^V50*VINMAX</f>
        <v>382.8491746</v>
      </c>
      <c r="W52" s="30">
        <f>W49*W47^W50*VINMAX</f>
        <v>382.1761448</v>
      </c>
      <c r="X52" s="30">
        <f>X49*X47^X50*VINMAX</f>
        <v>381.4778274</v>
      </c>
      <c r="Y52" s="30"/>
    </row>
    <row r="53" ht="12.75" customHeight="1">
      <c r="D53" s="30" t="s">
        <v>411</v>
      </c>
      <c r="E53" s="30">
        <f>E52*(TJMAX-$E$19)/(TJMAX - 25)</f>
        <v>214.4977398</v>
      </c>
      <c r="F53" s="30">
        <f>F52*(TJMAX-$E$19)/(TJMAX - 25)</f>
        <v>214.2942191</v>
      </c>
      <c r="G53" s="30">
        <f>G52*(TJMAX-$E$19)/(TJMAX - 25)</f>
        <v>214.0879486</v>
      </c>
      <c r="H53" s="30">
        <f>H52*(TJMAX-$E$19)/(TJMAX - 25)</f>
        <v>213.8778072</v>
      </c>
      <c r="I53" s="30">
        <f>I52*(TJMAX-$E$19)/(TJMAX - 25)</f>
        <v>213.6626999</v>
      </c>
      <c r="J53" s="30">
        <f>J52*(TJMAX-$E$19)/(TJMAX - 25)</f>
        <v>213.4415637</v>
      </c>
      <c r="K53" s="30">
        <f>K52*(TJMAX-$E$19)/(TJMAX - 25)</f>
        <v>213.2133745</v>
      </c>
      <c r="L53" s="30">
        <f>L52*(TJMAX-$E$19)/(TJMAX - 25)</f>
        <v>212.9771546</v>
      </c>
      <c r="M53" s="30">
        <f>M52*(TJMAX-$E$19)/(TJMAX - 25)</f>
        <v>212.7319791</v>
      </c>
      <c r="N53" s="30">
        <f>N52*(TJMAX-$E$19)/(TJMAX - 25)</f>
        <v>212.4769837</v>
      </c>
      <c r="O53" s="30">
        <f>O52*(TJMAX-$E$19)/(TJMAX - 25)</f>
        <v>212.2113718</v>
      </c>
      <c r="P53" s="30">
        <f>P52*(TJMAX-$E$19)/(TJMAX - 25)</f>
        <v>211.934421</v>
      </c>
      <c r="Q53" s="30">
        <f>Q52*(TJMAX-$E$19)/(TJMAX - 25)</f>
        <v>211.6454897</v>
      </c>
      <c r="R53" s="30">
        <f>R52*(TJMAX-$E$19)/(TJMAX - 25)</f>
        <v>211.3440229</v>
      </c>
      <c r="S53" s="30">
        <f>S52*(TJMAX-$E$19)/(TJMAX - 25)</f>
        <v>211.0295568</v>
      </c>
      <c r="T53" s="30">
        <f>T52*(TJMAX-$E$19)/(TJMAX - 25)</f>
        <v>210.7017224</v>
      </c>
      <c r="U53" s="30">
        <f>U52*(TJMAX-$E$19)/(TJMAX - 25)</f>
        <v>210.3602479</v>
      </c>
      <c r="V53" s="30">
        <f>V52*(TJMAX-$E$19)/(TJMAX - 25)</f>
        <v>210.0049597</v>
      </c>
      <c r="W53" s="30">
        <f>W52*(TJMAX-$E$19)/(TJMAX - 25)</f>
        <v>209.6357813</v>
      </c>
      <c r="X53" s="30">
        <f>X52*(TJMAX-$E$19)/(TJMAX - 25)</f>
        <v>209.252732</v>
      </c>
      <c r="Y53" s="30"/>
    </row>
    <row r="54" ht="12.75" customHeight="1">
      <c r="D54" s="30" t="s">
        <v>412</v>
      </c>
      <c r="E54" s="30">
        <f t="shared" ref="E54:X54" si="8">E53/E46</f>
        <v>1.495102669</v>
      </c>
      <c r="F54" s="30">
        <f t="shared" si="8"/>
        <v>1.512078982</v>
      </c>
      <c r="G54" s="30">
        <f t="shared" si="8"/>
        <v>1.527678031</v>
      </c>
      <c r="H54" s="30">
        <f t="shared" si="8"/>
        <v>1.541959158</v>
      </c>
      <c r="I54" s="30">
        <f t="shared" si="8"/>
        <v>1.554983512</v>
      </c>
      <c r="J54" s="30">
        <f t="shared" si="8"/>
        <v>1.566813045</v>
      </c>
      <c r="K54" s="30">
        <f t="shared" si="8"/>
        <v>1.577509652</v>
      </c>
      <c r="L54" s="30">
        <f t="shared" si="8"/>
        <v>1.587134488</v>
      </c>
      <c r="M54" s="30">
        <f t="shared" si="8"/>
        <v>1.595747413</v>
      </c>
      <c r="N54" s="30">
        <f t="shared" si="8"/>
        <v>1.603406573</v>
      </c>
      <c r="O54" s="30">
        <f t="shared" si="8"/>
        <v>1.610168092</v>
      </c>
      <c r="P54" s="30">
        <f t="shared" si="8"/>
        <v>1.616085873</v>
      </c>
      <c r="Q54" s="30">
        <f t="shared" si="8"/>
        <v>1.621211465</v>
      </c>
      <c r="R54" s="30">
        <f t="shared" si="8"/>
        <v>1.625594009</v>
      </c>
      <c r="S54" s="30">
        <f t="shared" si="8"/>
        <v>1.629280239</v>
      </c>
      <c r="T54" s="30">
        <f t="shared" si="8"/>
        <v>1.632314514</v>
      </c>
      <c r="U54" s="30">
        <f t="shared" si="8"/>
        <v>1.634738888</v>
      </c>
      <c r="V54" s="30">
        <f t="shared" si="8"/>
        <v>1.636593193</v>
      </c>
      <c r="W54" s="30">
        <f t="shared" si="8"/>
        <v>1.637915143</v>
      </c>
      <c r="X54" s="30">
        <f t="shared" si="8"/>
        <v>1.63874043</v>
      </c>
      <c r="Y54" s="30"/>
    </row>
    <row r="55" ht="12.75" customHeight="1"/>
    <row r="56" ht="12.75" customHeight="1">
      <c r="D56" s="30" t="s">
        <v>413</v>
      </c>
      <c r="E56" s="30" t="str">
        <f t="shared" ref="E56:X56" si="9">IF(E54&gt;$E$20, "Y", "N")</f>
        <v>Y</v>
      </c>
      <c r="F56" s="30" t="str">
        <f t="shared" si="9"/>
        <v>Y</v>
      </c>
      <c r="G56" s="30" t="str">
        <f t="shared" si="9"/>
        <v>Y</v>
      </c>
      <c r="H56" s="30" t="str">
        <f t="shared" si="9"/>
        <v>Y</v>
      </c>
      <c r="I56" s="30" t="str">
        <f t="shared" si="9"/>
        <v>Y</v>
      </c>
      <c r="J56" s="30" t="str">
        <f t="shared" si="9"/>
        <v>Y</v>
      </c>
      <c r="K56" s="30" t="str">
        <f t="shared" si="9"/>
        <v>Y</v>
      </c>
      <c r="L56" s="30" t="str">
        <f t="shared" si="9"/>
        <v>Y</v>
      </c>
      <c r="M56" s="30" t="str">
        <f t="shared" si="9"/>
        <v>Y</v>
      </c>
      <c r="N56" s="30" t="str">
        <f t="shared" si="9"/>
        <v>Y</v>
      </c>
      <c r="O56" s="30" t="str">
        <f t="shared" si="9"/>
        <v>Y</v>
      </c>
      <c r="P56" s="30" t="str">
        <f t="shared" si="9"/>
        <v>Y</v>
      </c>
      <c r="Q56" s="30" t="str">
        <f t="shared" si="9"/>
        <v>Y</v>
      </c>
      <c r="R56" s="30" t="str">
        <f t="shared" si="9"/>
        <v>Y</v>
      </c>
      <c r="S56" s="30" t="str">
        <f t="shared" si="9"/>
        <v>Y</v>
      </c>
      <c r="T56" s="30" t="str">
        <f t="shared" si="9"/>
        <v>Y</v>
      </c>
      <c r="U56" s="30" t="str">
        <f t="shared" si="9"/>
        <v>Y</v>
      </c>
      <c r="V56" s="30" t="str">
        <f t="shared" si="9"/>
        <v>Y</v>
      </c>
      <c r="W56" s="30" t="str">
        <f t="shared" si="9"/>
        <v>Y</v>
      </c>
      <c r="X56" s="30" t="str">
        <f t="shared" si="9"/>
        <v>Y</v>
      </c>
      <c r="Y56" s="30" t="s">
        <v>414</v>
      </c>
    </row>
    <row r="57" ht="12.75" customHeight="1">
      <c r="D57" s="30" t="s">
        <v>415</v>
      </c>
      <c r="E57" s="30">
        <f>IF(E56="Y", 1, 0)</f>
        <v>1</v>
      </c>
      <c r="F57" s="30">
        <f t="shared" ref="F57:X57" si="10">IF(AND(F56="Y", E56="N"),  1, 0)</f>
        <v>0</v>
      </c>
      <c r="G57" s="30">
        <f t="shared" si="10"/>
        <v>0</v>
      </c>
      <c r="H57" s="30">
        <f t="shared" si="10"/>
        <v>0</v>
      </c>
      <c r="I57" s="30">
        <f t="shared" si="10"/>
        <v>0</v>
      </c>
      <c r="J57" s="30">
        <f t="shared" si="10"/>
        <v>0</v>
      </c>
      <c r="K57" s="30">
        <f t="shared" si="10"/>
        <v>0</v>
      </c>
      <c r="L57" s="30">
        <f t="shared" si="10"/>
        <v>0</v>
      </c>
      <c r="M57" s="30">
        <f t="shared" si="10"/>
        <v>0</v>
      </c>
      <c r="N57" s="30">
        <f t="shared" si="10"/>
        <v>0</v>
      </c>
      <c r="O57" s="30">
        <f t="shared" si="10"/>
        <v>0</v>
      </c>
      <c r="P57" s="30">
        <f t="shared" si="10"/>
        <v>0</v>
      </c>
      <c r="Q57" s="30">
        <f t="shared" si="10"/>
        <v>0</v>
      </c>
      <c r="R57" s="30">
        <f t="shared" si="10"/>
        <v>0</v>
      </c>
      <c r="S57" s="30">
        <f t="shared" si="10"/>
        <v>0</v>
      </c>
      <c r="T57" s="30">
        <f t="shared" si="10"/>
        <v>0</v>
      </c>
      <c r="U57" s="30">
        <f t="shared" si="10"/>
        <v>0</v>
      </c>
      <c r="V57" s="30">
        <f t="shared" si="10"/>
        <v>0</v>
      </c>
      <c r="W57" s="30">
        <f t="shared" si="10"/>
        <v>0</v>
      </c>
      <c r="X57" s="30">
        <f t="shared" si="10"/>
        <v>0</v>
      </c>
      <c r="Y57" s="30"/>
    </row>
    <row r="58" ht="12.75" customHeight="1">
      <c r="D58" s="30" t="s">
        <v>416</v>
      </c>
      <c r="E58" s="30">
        <v>0.0</v>
      </c>
      <c r="F58" s="30">
        <f t="shared" ref="F58:X58" si="11">IF(AND(F56="Y", G56="N"),  1, 0)</f>
        <v>0</v>
      </c>
      <c r="G58" s="30">
        <f t="shared" si="11"/>
        <v>0</v>
      </c>
      <c r="H58" s="30">
        <f t="shared" si="11"/>
        <v>0</v>
      </c>
      <c r="I58" s="30">
        <f t="shared" si="11"/>
        <v>0</v>
      </c>
      <c r="J58" s="30">
        <f t="shared" si="11"/>
        <v>0</v>
      </c>
      <c r="K58" s="30">
        <f t="shared" si="11"/>
        <v>0</v>
      </c>
      <c r="L58" s="30">
        <f t="shared" si="11"/>
        <v>0</v>
      </c>
      <c r="M58" s="30">
        <f t="shared" si="11"/>
        <v>0</v>
      </c>
      <c r="N58" s="30">
        <f t="shared" si="11"/>
        <v>0</v>
      </c>
      <c r="O58" s="30">
        <f t="shared" si="11"/>
        <v>0</v>
      </c>
      <c r="P58" s="30">
        <f t="shared" si="11"/>
        <v>0</v>
      </c>
      <c r="Q58" s="30">
        <f t="shared" si="11"/>
        <v>0</v>
      </c>
      <c r="R58" s="30">
        <f t="shared" si="11"/>
        <v>0</v>
      </c>
      <c r="S58" s="30">
        <f t="shared" si="11"/>
        <v>0</v>
      </c>
      <c r="T58" s="30">
        <f t="shared" si="11"/>
        <v>0</v>
      </c>
      <c r="U58" s="30">
        <f t="shared" si="11"/>
        <v>0</v>
      </c>
      <c r="V58" s="30">
        <f t="shared" si="11"/>
        <v>0</v>
      </c>
      <c r="W58" s="30">
        <f t="shared" si="11"/>
        <v>0</v>
      </c>
      <c r="X58" s="30">
        <f t="shared" si="11"/>
        <v>1</v>
      </c>
      <c r="Y58" s="30"/>
    </row>
    <row r="59" ht="12.75" customHeight="1"/>
    <row r="60" ht="12.75" customHeight="1">
      <c r="D60" s="30" t="s">
        <v>417</v>
      </c>
      <c r="E60" s="30">
        <f t="shared" ref="E60:X60" si="12">E57*E37</f>
        <v>0.6456452827</v>
      </c>
      <c r="F60" s="30">
        <f t="shared" si="12"/>
        <v>0</v>
      </c>
      <c r="G60" s="30">
        <f t="shared" si="12"/>
        <v>0</v>
      </c>
      <c r="H60" s="30">
        <f t="shared" si="12"/>
        <v>0</v>
      </c>
      <c r="I60" s="30">
        <f t="shared" si="12"/>
        <v>0</v>
      </c>
      <c r="J60" s="30">
        <f t="shared" si="12"/>
        <v>0</v>
      </c>
      <c r="K60" s="30">
        <f t="shared" si="12"/>
        <v>0</v>
      </c>
      <c r="L60" s="30">
        <f t="shared" si="12"/>
        <v>0</v>
      </c>
      <c r="M60" s="30">
        <f t="shared" si="12"/>
        <v>0</v>
      </c>
      <c r="N60" s="30">
        <f t="shared" si="12"/>
        <v>0</v>
      </c>
      <c r="O60" s="30">
        <f t="shared" si="12"/>
        <v>0</v>
      </c>
      <c r="P60" s="30">
        <f t="shared" si="12"/>
        <v>0</v>
      </c>
      <c r="Q60" s="30">
        <f t="shared" si="12"/>
        <v>0</v>
      </c>
      <c r="R60" s="30">
        <f t="shared" si="12"/>
        <v>0</v>
      </c>
      <c r="S60" s="30">
        <f t="shared" si="12"/>
        <v>0</v>
      </c>
      <c r="T60" s="30">
        <f t="shared" si="12"/>
        <v>0</v>
      </c>
      <c r="U60" s="30">
        <f t="shared" si="12"/>
        <v>0</v>
      </c>
      <c r="V60" s="30">
        <f t="shared" si="12"/>
        <v>0</v>
      </c>
      <c r="W60" s="30">
        <f t="shared" si="12"/>
        <v>0</v>
      </c>
      <c r="X60" s="30">
        <f t="shared" si="12"/>
        <v>0</v>
      </c>
      <c r="Y60" s="30"/>
    </row>
    <row r="61" ht="12.75" customHeight="1">
      <c r="D61" s="30" t="s">
        <v>418</v>
      </c>
      <c r="E61" s="30">
        <f t="shared" ref="E61:X61" si="13">E37*E58</f>
        <v>0</v>
      </c>
      <c r="F61" s="30">
        <f t="shared" si="13"/>
        <v>0</v>
      </c>
      <c r="G61" s="30">
        <f t="shared" si="13"/>
        <v>0</v>
      </c>
      <c r="H61" s="30">
        <f t="shared" si="13"/>
        <v>0</v>
      </c>
      <c r="I61" s="30">
        <f t="shared" si="13"/>
        <v>0</v>
      </c>
      <c r="J61" s="30">
        <f t="shared" si="13"/>
        <v>0</v>
      </c>
      <c r="K61" s="30">
        <f t="shared" si="13"/>
        <v>0</v>
      </c>
      <c r="L61" s="30">
        <f t="shared" si="13"/>
        <v>0</v>
      </c>
      <c r="M61" s="30">
        <f t="shared" si="13"/>
        <v>0</v>
      </c>
      <c r="N61" s="30">
        <f t="shared" si="13"/>
        <v>0</v>
      </c>
      <c r="O61" s="30">
        <f t="shared" si="13"/>
        <v>0</v>
      </c>
      <c r="P61" s="30">
        <f t="shared" si="13"/>
        <v>0</v>
      </c>
      <c r="Q61" s="30">
        <f t="shared" si="13"/>
        <v>0</v>
      </c>
      <c r="R61" s="30">
        <f t="shared" si="13"/>
        <v>0</v>
      </c>
      <c r="S61" s="30">
        <f t="shared" si="13"/>
        <v>0</v>
      </c>
      <c r="T61" s="30">
        <f t="shared" si="13"/>
        <v>0</v>
      </c>
      <c r="U61" s="30">
        <f t="shared" si="13"/>
        <v>0</v>
      </c>
      <c r="V61" s="30">
        <f t="shared" si="13"/>
        <v>0</v>
      </c>
      <c r="W61" s="30">
        <f t="shared" si="13"/>
        <v>0</v>
      </c>
      <c r="X61" s="30">
        <f t="shared" si="13"/>
        <v>0.1</v>
      </c>
      <c r="Y61" s="30"/>
    </row>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2009-04-21T16:00:33Z</dcterms:created>
  <dc:creator>Timothy Hegarty</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NSC</vt:lpwstr>
  </property>
  <property fmtid="{D5CDD505-2E9C-101B-9397-08002B2CF9AE}" pid="4" name="ContentTypeId">
    <vt:lpwstr>0x010100CF72F43736E84F41BD4B3E7ABAD1B9F8</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ies>
</file>